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65521" windowWidth="9420" windowHeight="7425" activeTab="3"/>
  </bookViews>
  <sheets>
    <sheet name="unladen" sheetId="1" r:id="rId1"/>
    <sheet name="1up" sheetId="2" r:id="rId2"/>
    <sheet name="2up" sheetId="3" r:id="rId3"/>
    <sheet name="General data" sheetId="4" r:id="rId4"/>
    <sheet name="Damper setup - 2up" sheetId="5" r:id="rId5"/>
  </sheets>
  <definedNames>
    <definedName name="ARB_outer_diameter_f">#REF!</definedName>
    <definedName name="ARB_outer_diameter_r">#REF!</definedName>
    <definedName name="ARB_Stiffness_f">#REF!</definedName>
    <definedName name="ARB_Stiffness_r">#REF!</definedName>
    <definedName name="Bush_Radial_Stiffness_f">#REF!</definedName>
    <definedName name="Bush_Radial_Stiffness_r">#REF!</definedName>
    <definedName name="chass_roll">#REF!</definedName>
    <definedName name="d_length_f">#REF!</definedName>
    <definedName name="d_length_r">#REF!</definedName>
    <definedName name="e_length_f">#REF!</definedName>
    <definedName name="e_length_r">#REF!</definedName>
    <definedName name="f_length_f">#REF!</definedName>
    <definedName name="f_length_r">#REF!</definedName>
    <definedName name="h_1">#REF!</definedName>
    <definedName name="h_cg">#REF!</definedName>
    <definedName name="h_rc_f">#REF!</definedName>
    <definedName name="h_rc_r">#REF!</definedName>
    <definedName name="K_phi_f_tot">#REF!</definedName>
    <definedName name="K_phi_f_w">#REF!</definedName>
    <definedName name="K_phi_r_tot">#REF!</definedName>
    <definedName name="K_phi_r_w">#REF!</definedName>
    <definedName name="Lever_Ratio_f">#REF!</definedName>
    <definedName name="Lever_Ratio_r">#REF!</definedName>
    <definedName name="Moment_of_Inertia_f">#REF!</definedName>
    <definedName name="Moment_of_Inertia_r">#REF!</definedName>
    <definedName name="Polar_Moment_of_Inertia_f">#REF!</definedName>
    <definedName name="Polar_Moment_of_Inertia_r">#REF!</definedName>
    <definedName name="radius">#REF!</definedName>
    <definedName name="Shear_Modulus_of_ARB_f">#REF!</definedName>
    <definedName name="Shear_Modulus_of_ARB_r">#REF!</definedName>
    <definedName name="total_roll">#REF!</definedName>
    <definedName name="track_f">#REF!</definedName>
    <definedName name="track_r">#REF!</definedName>
    <definedName name="WallThick_Outer_pc_f">#REF!</definedName>
    <definedName name="WallThick_Outer_pc_r">#REF!</definedName>
    <definedName name="wbase">#REF!</definedName>
    <definedName name="Youngs_Modulus_of_ARB_f">#REF!</definedName>
    <definedName name="Youngs_Modulus_of_ARB_r">#REF!</definedName>
  </definedNames>
  <calcPr fullCalcOnLoad="1"/>
</workbook>
</file>

<file path=xl/comments1.xml><?xml version="1.0" encoding="utf-8"?>
<comments xmlns="http://schemas.openxmlformats.org/spreadsheetml/2006/main">
  <authors>
    <author>neveret4</author>
  </authors>
  <commentList>
    <comment ref="I15" authorId="0">
      <text>
        <r>
          <rPr>
            <sz val="8"/>
            <rFont val="Tahoma"/>
            <family val="2"/>
          </rPr>
          <t>+ve to the right of centreline</t>
        </r>
      </text>
    </comment>
    <comment ref="I14" authorId="0">
      <text>
        <r>
          <rPr>
            <sz val="8"/>
            <rFont val="Tahoma"/>
            <family val="0"/>
          </rPr>
          <t>Rearwards of front wheel centre</t>
        </r>
      </text>
    </comment>
    <comment ref="A21" authorId="0">
      <text>
        <r>
          <rPr>
            <sz val="8"/>
            <rFont val="Tahoma"/>
            <family val="2"/>
          </rPr>
          <t>This is the amount that the spring collar should move along the axis of the damper</t>
        </r>
      </text>
    </comment>
    <comment ref="I21" authorId="0">
      <text>
        <r>
          <rPr>
            <sz val="8"/>
            <rFont val="Tahoma"/>
            <family val="2"/>
          </rPr>
          <t>This is the amount that the spring collar should move along the axis of the damper</t>
        </r>
      </text>
    </comment>
    <comment ref="I12" authorId="0">
      <text>
        <r>
          <rPr>
            <sz val="8"/>
            <rFont val="Tahoma"/>
            <family val="2"/>
          </rPr>
          <t>This is the amount that the spring collar should move along the axis of the damper</t>
        </r>
      </text>
    </comment>
    <comment ref="A12" authorId="0">
      <text>
        <r>
          <rPr>
            <sz val="8"/>
            <rFont val="Tahoma"/>
            <family val="2"/>
          </rPr>
          <t>This is the amount that the spring collar should move along the axis of the damper</t>
        </r>
      </text>
    </comment>
    <comment ref="J14" authorId="0">
      <text>
        <r>
          <rPr>
            <sz val="8"/>
            <rFont val="Tahoma"/>
            <family val="0"/>
          </rPr>
          <t>Most production cars aim for 1.05 - 1.1 range</t>
        </r>
      </text>
    </comment>
    <comment ref="J15" authorId="0">
      <text>
        <r>
          <rPr>
            <sz val="8"/>
            <rFont val="Tahoma"/>
            <family val="0"/>
          </rPr>
          <t>Does not include tyre deflection &amp; assumes no anti-roll bars</t>
        </r>
      </text>
    </comment>
    <comment ref="J16" authorId="0">
      <text>
        <r>
          <rPr>
            <sz val="8"/>
            <rFont val="Tahoma"/>
            <family val="0"/>
          </rPr>
          <t>Includes tyre deflection &amp; assumes no anti-roll bars</t>
        </r>
      </text>
    </comment>
  </commentList>
</comments>
</file>

<file path=xl/comments2.xml><?xml version="1.0" encoding="utf-8"?>
<comments xmlns="http://schemas.openxmlformats.org/spreadsheetml/2006/main">
  <authors>
    <author>neveret4</author>
  </authors>
  <commentList>
    <comment ref="I15" authorId="0">
      <text>
        <r>
          <rPr>
            <sz val="8"/>
            <rFont val="Tahoma"/>
            <family val="2"/>
          </rPr>
          <t>+ve to the right of centreline</t>
        </r>
      </text>
    </comment>
    <comment ref="I14" authorId="0">
      <text>
        <r>
          <rPr>
            <sz val="8"/>
            <rFont val="Tahoma"/>
            <family val="0"/>
          </rPr>
          <t>Rearwards of front wheel centre</t>
        </r>
      </text>
    </comment>
    <comment ref="A21" authorId="0">
      <text>
        <r>
          <rPr>
            <sz val="8"/>
            <rFont val="Tahoma"/>
            <family val="2"/>
          </rPr>
          <t>This is the amount that the spring collar should move along the axis of the damper</t>
        </r>
      </text>
    </comment>
    <comment ref="I21" authorId="0">
      <text>
        <r>
          <rPr>
            <sz val="8"/>
            <rFont val="Tahoma"/>
            <family val="2"/>
          </rPr>
          <t>This is the amount that the spring collar should move along the axis of the damper</t>
        </r>
      </text>
    </comment>
    <comment ref="I12" authorId="0">
      <text>
        <r>
          <rPr>
            <sz val="8"/>
            <rFont val="Tahoma"/>
            <family val="2"/>
          </rPr>
          <t>This is the amount that the spring collar should move along the axis of the damper</t>
        </r>
      </text>
    </comment>
    <comment ref="A12" authorId="0">
      <text>
        <r>
          <rPr>
            <sz val="8"/>
            <rFont val="Tahoma"/>
            <family val="2"/>
          </rPr>
          <t>This is the amount that the spring collar should move along the axis of the damper</t>
        </r>
      </text>
    </comment>
    <comment ref="J14" authorId="0">
      <text>
        <r>
          <rPr>
            <sz val="8"/>
            <rFont val="Tahoma"/>
            <family val="0"/>
          </rPr>
          <t>Most production cars aim for 1.05 - 1.1 range</t>
        </r>
      </text>
    </comment>
    <comment ref="J15" authorId="0">
      <text>
        <r>
          <rPr>
            <sz val="8"/>
            <rFont val="Tahoma"/>
            <family val="0"/>
          </rPr>
          <t>Does not include tyre deflection &amp; assumes no anti-roll bars</t>
        </r>
      </text>
    </comment>
    <comment ref="J16" authorId="0">
      <text>
        <r>
          <rPr>
            <sz val="8"/>
            <rFont val="Tahoma"/>
            <family val="0"/>
          </rPr>
          <t>Includes tyre deflection &amp; assumes no anti-roll bars</t>
        </r>
      </text>
    </comment>
  </commentList>
</comments>
</file>

<file path=xl/comments3.xml><?xml version="1.0" encoding="utf-8"?>
<comments xmlns="http://schemas.openxmlformats.org/spreadsheetml/2006/main">
  <authors>
    <author>neveret4</author>
  </authors>
  <commentList>
    <comment ref="I15" authorId="0">
      <text>
        <r>
          <rPr>
            <sz val="8"/>
            <rFont val="Tahoma"/>
            <family val="2"/>
          </rPr>
          <t>+ve to the right of centreline</t>
        </r>
      </text>
    </comment>
    <comment ref="I14" authorId="0">
      <text>
        <r>
          <rPr>
            <sz val="8"/>
            <rFont val="Tahoma"/>
            <family val="0"/>
          </rPr>
          <t>Rearwards of front wheel centre</t>
        </r>
      </text>
    </comment>
    <comment ref="A21" authorId="0">
      <text>
        <r>
          <rPr>
            <sz val="8"/>
            <rFont val="Tahoma"/>
            <family val="2"/>
          </rPr>
          <t>This is the amount that the spring collar should move along the axis of the damper</t>
        </r>
      </text>
    </comment>
    <comment ref="I21" authorId="0">
      <text>
        <r>
          <rPr>
            <sz val="8"/>
            <rFont val="Tahoma"/>
            <family val="2"/>
          </rPr>
          <t>This is the amount that the spring collar should move along the axis of the damper</t>
        </r>
      </text>
    </comment>
    <comment ref="I12" authorId="0">
      <text>
        <r>
          <rPr>
            <sz val="8"/>
            <rFont val="Tahoma"/>
            <family val="2"/>
          </rPr>
          <t>This is the amount that the spring collar should move along the axis of the damper</t>
        </r>
      </text>
    </comment>
    <comment ref="A12" authorId="0">
      <text>
        <r>
          <rPr>
            <sz val="8"/>
            <rFont val="Tahoma"/>
            <family val="2"/>
          </rPr>
          <t>This is the amount that the spring collar should move along the axis of the damper</t>
        </r>
      </text>
    </comment>
    <comment ref="J14" authorId="0">
      <text>
        <r>
          <rPr>
            <sz val="8"/>
            <rFont val="Tahoma"/>
            <family val="0"/>
          </rPr>
          <t>Most production cars aim for 1.05 - 1.1 range</t>
        </r>
      </text>
    </comment>
    <comment ref="J15" authorId="0">
      <text>
        <r>
          <rPr>
            <sz val="8"/>
            <rFont val="Tahoma"/>
            <family val="0"/>
          </rPr>
          <t>Does not include tyre deflection &amp; assumes no anti-roll bars</t>
        </r>
      </text>
    </comment>
    <comment ref="J16" authorId="0">
      <text>
        <r>
          <rPr>
            <sz val="8"/>
            <rFont val="Tahoma"/>
            <family val="0"/>
          </rPr>
          <t>Includes tyre deflection &amp; assumes no anti-roll bars</t>
        </r>
      </text>
    </comment>
  </commentList>
</comments>
</file>

<file path=xl/comments4.xml><?xml version="1.0" encoding="utf-8"?>
<comments xmlns="http://schemas.openxmlformats.org/spreadsheetml/2006/main">
  <authors>
    <author>neveret4</author>
  </authors>
  <commentList>
    <comment ref="B13" authorId="0">
      <text>
        <r>
          <rPr>
            <sz val="8"/>
            <rFont val="Tahoma"/>
            <family val="0"/>
          </rPr>
          <t>195/45 R15 Avon CR500 @ 1.2bar/17.4psi measured at 165N/mm</t>
        </r>
      </text>
    </comment>
    <comment ref="B7" authorId="0">
      <text>
        <r>
          <rPr>
            <sz val="8"/>
            <rFont val="Tahoma"/>
            <family val="2"/>
          </rPr>
          <t>Guesswork…!</t>
        </r>
      </text>
    </comment>
    <comment ref="B14" authorId="0">
      <text>
        <r>
          <rPr>
            <sz val="8"/>
            <rFont val="Tahoma"/>
            <family val="2"/>
          </rPr>
          <t>Approximated from measurements of front suspension</t>
        </r>
      </text>
    </comment>
    <comment ref="B10" authorId="0">
      <text>
        <r>
          <rPr>
            <sz val="8"/>
            <rFont val="Tahoma"/>
            <family val="0"/>
          </rPr>
          <t>Approximated from measurement of front suspension</t>
        </r>
      </text>
    </comment>
    <comment ref="B11" authorId="0">
      <text>
        <r>
          <rPr>
            <sz val="8"/>
            <rFont val="Tahoma"/>
            <family val="0"/>
          </rPr>
          <t>Approximated from measurement of key components (wheel &amp; tyre, uprights etc)</t>
        </r>
      </text>
    </comment>
  </commentList>
</comments>
</file>

<file path=xl/sharedStrings.xml><?xml version="1.0" encoding="utf-8"?>
<sst xmlns="http://schemas.openxmlformats.org/spreadsheetml/2006/main" count="517" uniqueCount="109">
  <si>
    <t>Front Track</t>
  </si>
  <si>
    <t>Rear Track</t>
  </si>
  <si>
    <t>Wheelbase</t>
  </si>
  <si>
    <t>kg</t>
  </si>
  <si>
    <t>mm</t>
  </si>
  <si>
    <t>Error</t>
  </si>
  <si>
    <t>Ideal corner weight</t>
  </si>
  <si>
    <t>Measured corner weight</t>
  </si>
  <si>
    <t>Total weight on front</t>
  </si>
  <si>
    <t>Total weight on rear</t>
  </si>
  <si>
    <t>%</t>
  </si>
  <si>
    <t>Total weight on right side</t>
  </si>
  <si>
    <t>% weight on right side</t>
  </si>
  <si>
    <t>% weight on left side</t>
  </si>
  <si>
    <t>Total weight on left side</t>
  </si>
  <si>
    <t>Lateral CofG position</t>
  </si>
  <si>
    <t>Total vehicle weight</t>
  </si>
  <si>
    <t>Notes:</t>
  </si>
  <si>
    <t>Only modify items in bold / blue font</t>
  </si>
  <si>
    <t>All other data is calculated</t>
  </si>
  <si>
    <t>lb/in</t>
  </si>
  <si>
    <t>N/mm</t>
  </si>
  <si>
    <t>Lever ratio</t>
  </si>
  <si>
    <t>Spring rate</t>
  </si>
  <si>
    <t>-</t>
  </si>
  <si>
    <t>Wheel rate</t>
  </si>
  <si>
    <t>Ride frequency</t>
  </si>
  <si>
    <t>Hz</t>
  </si>
  <si>
    <t>Front lever ratio</t>
  </si>
  <si>
    <t>Rear lever ratio</t>
  </si>
  <si>
    <t>Tyre vertical stiffness</t>
  </si>
  <si>
    <t>Front tyre vertical stiffness</t>
  </si>
  <si>
    <t>Rear tyre vertical stiffness</t>
  </si>
  <si>
    <t>Extra spring preload required</t>
  </si>
  <si>
    <t>Front axle load</t>
  </si>
  <si>
    <t>N</t>
  </si>
  <si>
    <t>Rear axle load</t>
  </si>
  <si>
    <t>Corner Weight &amp; Ride Frequency Calculator</t>
  </si>
  <si>
    <t>Fill in the General data worksheet</t>
  </si>
  <si>
    <t>Ride frequency ratio</t>
  </si>
  <si>
    <t>Wheel hop frequency</t>
  </si>
  <si>
    <t>Nm/deg</t>
  </si>
  <si>
    <t>Front Roll Centre Height</t>
  </si>
  <si>
    <t>Rear Roll Centre Height</t>
  </si>
  <si>
    <t>deg/g</t>
  </si>
  <si>
    <t>Total suspension roll stiffness</t>
  </si>
  <si>
    <t>Total body roll stiffness</t>
  </si>
  <si>
    <t>Sprung mass CofG height</t>
  </si>
  <si>
    <t>% rear</t>
  </si>
  <si>
    <t>% front</t>
  </si>
  <si>
    <t>Roll axis height @ CofG</t>
  </si>
  <si>
    <t>CofG to roll axis</t>
  </si>
  <si>
    <t>Suspension roll gradient</t>
  </si>
  <si>
    <t>Total roll gradient</t>
  </si>
  <si>
    <t>CofG position</t>
  </si>
  <si>
    <t>For calculations only</t>
  </si>
  <si>
    <t>Front suspension roll stiffness</t>
  </si>
  <si>
    <t>Front body roll stiffness</t>
  </si>
  <si>
    <t>Rear suspension roll stiffness</t>
  </si>
  <si>
    <t>Rear body roll stiffness</t>
  </si>
  <si>
    <t>2 up - driver &amp; passenger</t>
  </si>
  <si>
    <t>Front spring rate</t>
  </si>
  <si>
    <t>Rear spring rate</t>
  </si>
  <si>
    <t>Change spring rates using the arrows</t>
  </si>
  <si>
    <t>Change spring rate</t>
  </si>
  <si>
    <t>m/s</t>
  </si>
  <si>
    <t>% Critical damping target</t>
  </si>
  <si>
    <t>Critical damping at wheel</t>
  </si>
  <si>
    <t>Ns/m</t>
  </si>
  <si>
    <t>BUMP</t>
  </si>
  <si>
    <t>REBOUND</t>
  </si>
  <si>
    <t>Sprung mass</t>
  </si>
  <si>
    <t>N/m</t>
  </si>
  <si>
    <t>Front</t>
  </si>
  <si>
    <t>Rear</t>
  </si>
  <si>
    <t>Force at front damper</t>
  </si>
  <si>
    <t>Force at rear damper</t>
  </si>
  <si>
    <t>Front damper vel</t>
  </si>
  <si>
    <t>Force at front wheel</t>
  </si>
  <si>
    <t>Damping at front wheel</t>
  </si>
  <si>
    <t>Velocity at front damper</t>
  </si>
  <si>
    <t>Damping at rear wheel</t>
  </si>
  <si>
    <t>Rear damper vel</t>
  </si>
  <si>
    <t>Force at rear wheel</t>
  </si>
  <si>
    <t>Velocity at rear damper</t>
  </si>
  <si>
    <t>Damper curves</t>
  </si>
  <si>
    <t>Front ride rate</t>
  </si>
  <si>
    <t>Rear ride rate</t>
  </si>
  <si>
    <t>Front roll suspension rate</t>
  </si>
  <si>
    <t>Front roll wheel rate</t>
  </si>
  <si>
    <t>Rear roll suspension rate</t>
  </si>
  <si>
    <t>Front total unsprung mass</t>
  </si>
  <si>
    <t>Rear total unsprung mass</t>
  </si>
  <si>
    <t>Front roll stiffness distribution</t>
  </si>
  <si>
    <t>Rear roll stiffness distribution</t>
  </si>
  <si>
    <t>Track</t>
  </si>
  <si>
    <t>Spring/damper lever ratio</t>
  </si>
  <si>
    <t>Unsprung mass</t>
  </si>
  <si>
    <t>Roll centre height</t>
  </si>
  <si>
    <t>Unladen</t>
  </si>
  <si>
    <t>1 up - driver only</t>
  </si>
  <si>
    <r>
      <t>Track</t>
    </r>
    <r>
      <rPr>
        <sz val="10"/>
        <rFont val="Arial"/>
        <family val="0"/>
      </rPr>
      <t xml:space="preserve"> is the distance between the centrelines of the tyres at road level</t>
    </r>
  </si>
  <si>
    <t>Notes</t>
  </si>
  <si>
    <r>
      <t>Lever ratio</t>
    </r>
    <r>
      <rPr>
        <sz val="10"/>
        <rFont val="Arial"/>
        <family val="2"/>
      </rPr>
      <t xml:space="preserve"> is the ratio of movement along the axis of the spring to wheel vertical movement i.e. a ratio of 0.6 means that 6mm of shock movement would give 10mm of wheel vertical movement. This can be measured on the car by removing the spring from the damper while the car rests on axle stands, and taking some precise measurements as you cycle the suspension. Alternatively it can be calculated based on knowldge of the following hardpoints: Upper and lower wishbone inner and outer joint/bush centres in Y &amp; Z.; spring/damper upper and lower joint/bush centres in Y &amp; Z.  You then have the choice of doing some trigonometry, some scale drawings, or feeding the hardpoints into an analysis package.</t>
    </r>
  </si>
  <si>
    <r>
      <t>Unsprung mass</t>
    </r>
    <r>
      <rPr>
        <sz val="10"/>
        <rFont val="Arial"/>
        <family val="2"/>
      </rPr>
      <t xml:space="preserve"> is the mass of all parts which move up and down with the wheels, plus a proportion of the suspension links.  The easiest way to measure is support the car on axle stands, remove springs from the damper, and then place a set of scales under each wheel, supporting the weight of the wheel and suspension.</t>
    </r>
  </si>
  <si>
    <r>
      <t>Roll centre height</t>
    </r>
    <r>
      <rPr>
        <sz val="10"/>
        <rFont val="Arial"/>
        <family val="2"/>
      </rPr>
      <t xml:space="preserve"> can be calculated from the harpoint data referred to in the lever ratio calculations, or the same data fed into an analysis package.  For info on how to do the calcs, use google!</t>
    </r>
  </si>
  <si>
    <t>General data - for corner weight calcs</t>
  </si>
  <si>
    <t>Additional data - for suspension setup calcs</t>
  </si>
  <si>
    <t>Useage: Complete the data on this worksheet.  If you only require ideal corner weights, just fill in the top table.  Then move to the sheet applicable to the load condition appropriate to your corner weight measurements (unladen, 1 up or 2up) and fill in your 4 corner weight measurements.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</si>
</sst>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0"/>
    <numFmt numFmtId="168" formatCode="0.00000000"/>
    <numFmt numFmtId="169" formatCode="0.0000000"/>
    <numFmt numFmtId="170" formatCode="0.000000"/>
    <numFmt numFmtId="171" formatCode="0.0000"/>
    <numFmt numFmtId="172" formatCode="[$-809]dd\ mmmm\ yyyy;@"/>
    <numFmt numFmtId="173" formatCode="0.000000000"/>
    <numFmt numFmtId="174" formatCode="0.0000000000"/>
    <numFmt numFmtId="175" formatCode="0.000E+00"/>
    <numFmt numFmtId="176" formatCode="General_)"/>
    <numFmt numFmtId="177" formatCode="0.00_)"/>
    <numFmt numFmtId="178" formatCode="0.000_)"/>
    <numFmt numFmtId="179" formatCode="#,##0_);\(#,##0\)"/>
    <numFmt numFmtId="180" formatCode="0.00E+0"/>
    <numFmt numFmtId="181" formatCode="0.00\ %\ \ \ \ \ "/>
    <numFmt numFmtId="182" formatCode="&quot;Total Understeer = &quot;0.00\ &quot;Deg/g&quot;"/>
    <numFmt numFmtId="183" formatCode=";;;"/>
    <numFmt numFmtId="184" formatCode="0.00000000000"/>
    <numFmt numFmtId="185" formatCode="0.000000000000"/>
  </numFmts>
  <fonts count="13">
    <font>
      <sz val="10"/>
      <name val="Arial"/>
      <family val="0"/>
    </font>
    <font>
      <b/>
      <sz val="10"/>
      <name val="Arial"/>
      <family val="2"/>
    </font>
    <font>
      <b/>
      <sz val="10"/>
      <color indexed="10"/>
      <name val="Arial"/>
      <family val="2"/>
    </font>
    <font>
      <b/>
      <sz val="10"/>
      <color indexed="48"/>
      <name val="Arial"/>
      <family val="2"/>
    </font>
    <font>
      <u val="single"/>
      <sz val="10"/>
      <color indexed="12"/>
      <name val="Arial"/>
      <family val="0"/>
    </font>
    <font>
      <u val="single"/>
      <sz val="10"/>
      <color indexed="36"/>
      <name val="Arial"/>
      <family val="0"/>
    </font>
    <font>
      <sz val="10"/>
      <color indexed="10"/>
      <name val="Arial"/>
      <family val="2"/>
    </font>
    <font>
      <sz val="8"/>
      <name val="Tahoma"/>
      <family val="0"/>
    </font>
    <font>
      <sz val="10"/>
      <color indexed="8"/>
      <name val="Arial"/>
      <family val="2"/>
    </font>
    <font>
      <sz val="10"/>
      <color indexed="22"/>
      <name val="Arial"/>
      <family val="2"/>
    </font>
    <font>
      <b/>
      <sz val="10"/>
      <color indexed="22"/>
      <name val="Arial"/>
      <family val="2"/>
    </font>
    <font>
      <sz val="8"/>
      <name val="Arial"/>
      <family val="2"/>
    </font>
    <font>
      <b/>
      <sz val="8"/>
      <name val="Arial"/>
      <family val="2"/>
    </font>
  </fonts>
  <fills count="9">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164" fontId="0" fillId="0" borderId="0" xfId="0" applyNumberFormat="1" applyFont="1" applyBorder="1" applyAlignment="1">
      <alignment/>
    </xf>
    <xf numFmtId="164" fontId="0" fillId="0" borderId="0" xfId="0" applyNumberFormat="1" applyFont="1" applyBorder="1" applyAlignment="1">
      <alignment horizontal="right"/>
    </xf>
    <xf numFmtId="164" fontId="0" fillId="0" borderId="0" xfId="0" applyNumberFormat="1" applyFont="1" applyBorder="1" applyAlignment="1">
      <alignment horizontal="left"/>
    </xf>
    <xf numFmtId="164" fontId="0" fillId="0" borderId="0" xfId="0" applyNumberFormat="1" applyFont="1" applyBorder="1" applyAlignment="1">
      <alignment horizontal="center"/>
    </xf>
    <xf numFmtId="164" fontId="0" fillId="0" borderId="0" xfId="0" applyNumberFormat="1" applyFont="1" applyBorder="1" applyAlignment="1">
      <alignment/>
    </xf>
    <xf numFmtId="164" fontId="0" fillId="0" borderId="0" xfId="0" applyNumberFormat="1" applyFont="1" applyBorder="1" applyAlignment="1" quotePrefix="1">
      <alignment horizontal="center"/>
    </xf>
    <xf numFmtId="164" fontId="0" fillId="0" borderId="0" xfId="0" applyNumberFormat="1" applyFont="1" applyFill="1" applyBorder="1" applyAlignment="1">
      <alignment/>
    </xf>
    <xf numFmtId="164" fontId="1" fillId="0" borderId="0" xfId="0" applyNumberFormat="1" applyFont="1" applyBorder="1" applyAlignment="1">
      <alignment horizontal="right" wrapText="1"/>
    </xf>
    <xf numFmtId="164" fontId="1" fillId="0" borderId="0" xfId="0" applyNumberFormat="1" applyFont="1" applyBorder="1" applyAlignment="1">
      <alignment horizontal="left" wrapText="1"/>
    </xf>
    <xf numFmtId="164" fontId="1" fillId="0" borderId="0" xfId="0" applyNumberFormat="1" applyFont="1" applyBorder="1" applyAlignment="1">
      <alignment horizontal="center" wrapText="1"/>
    </xf>
    <xf numFmtId="165" fontId="0" fillId="0" borderId="0" xfId="0" applyNumberFormat="1" applyFont="1" applyBorder="1" applyAlignment="1">
      <alignment horizontal="center"/>
    </xf>
    <xf numFmtId="164" fontId="0" fillId="0" borderId="0" xfId="0" applyNumberFormat="1" applyFont="1" applyBorder="1" applyAlignment="1">
      <alignment horizontal="center" vertical="top" textRotation="90"/>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left"/>
    </xf>
    <xf numFmtId="164" fontId="0" fillId="2" borderId="0" xfId="0" applyNumberFormat="1" applyFont="1" applyFill="1" applyBorder="1" applyAlignment="1">
      <alignment horizontal="left"/>
    </xf>
    <xf numFmtId="165" fontId="0" fillId="2" borderId="0" xfId="0" applyNumberFormat="1" applyFont="1" applyFill="1" applyBorder="1" applyAlignment="1">
      <alignment horizontal="center" vertical="top" textRotation="90"/>
    </xf>
    <xf numFmtId="164" fontId="0" fillId="2" borderId="0" xfId="0" applyNumberFormat="1" applyFont="1" applyFill="1" applyBorder="1" applyAlignment="1">
      <alignment horizontal="center" vertical="top" textRotation="90"/>
    </xf>
    <xf numFmtId="164" fontId="0" fillId="2" borderId="0" xfId="0" applyNumberFormat="1" applyFont="1" applyFill="1" applyBorder="1" applyAlignment="1">
      <alignment/>
    </xf>
    <xf numFmtId="164" fontId="0" fillId="3" borderId="0" xfId="0" applyNumberFormat="1" applyFont="1" applyFill="1" applyBorder="1" applyAlignment="1">
      <alignment horizontal="right"/>
    </xf>
    <xf numFmtId="164" fontId="0" fillId="3" borderId="0" xfId="0" applyNumberFormat="1" applyFont="1" applyFill="1" applyBorder="1" applyAlignment="1">
      <alignment horizontal="left"/>
    </xf>
    <xf numFmtId="164" fontId="0" fillId="4" borderId="0" xfId="0" applyNumberFormat="1" applyFont="1" applyFill="1" applyBorder="1" applyAlignment="1">
      <alignment/>
    </xf>
    <xf numFmtId="164" fontId="0" fillId="4" borderId="0" xfId="0" applyNumberFormat="1" applyFont="1" applyFill="1" applyBorder="1" applyAlignment="1">
      <alignment horizontal="left"/>
    </xf>
    <xf numFmtId="164" fontId="0" fillId="4" borderId="0" xfId="0" applyNumberFormat="1" applyFont="1" applyFill="1" applyBorder="1" applyAlignment="1">
      <alignment horizontal="right"/>
    </xf>
    <xf numFmtId="164" fontId="0" fillId="5" borderId="0" xfId="0" applyNumberFormat="1" applyFont="1" applyFill="1" applyBorder="1" applyAlignment="1">
      <alignment horizontal="right"/>
    </xf>
    <xf numFmtId="164" fontId="0" fillId="5" borderId="0" xfId="0" applyNumberFormat="1" applyFont="1" applyFill="1" applyBorder="1" applyAlignment="1">
      <alignment horizontal="left"/>
    </xf>
    <xf numFmtId="164" fontId="0" fillId="6" borderId="0" xfId="0" applyNumberFormat="1" applyFont="1" applyFill="1" applyBorder="1" applyAlignment="1">
      <alignment/>
    </xf>
    <xf numFmtId="164" fontId="0" fillId="6" borderId="0" xfId="0" applyNumberFormat="1" applyFont="1" applyFill="1" applyBorder="1" applyAlignment="1">
      <alignment horizontal="left"/>
    </xf>
    <xf numFmtId="164" fontId="0" fillId="6" borderId="0" xfId="0" applyNumberFormat="1" applyFont="1" applyFill="1" applyBorder="1" applyAlignment="1">
      <alignment horizontal="right"/>
    </xf>
    <xf numFmtId="164" fontId="0" fillId="7" borderId="0" xfId="0" applyNumberFormat="1" applyFont="1" applyFill="1" applyBorder="1" applyAlignment="1">
      <alignment/>
    </xf>
    <xf numFmtId="164" fontId="0" fillId="7" borderId="0" xfId="0" applyNumberFormat="1" applyFont="1" applyFill="1" applyBorder="1" applyAlignment="1">
      <alignment horizontal="left"/>
    </xf>
    <xf numFmtId="164" fontId="0" fillId="0" borderId="0" xfId="0" applyNumberFormat="1" applyFont="1" applyFill="1" applyBorder="1" applyAlignment="1">
      <alignment horizontal="center" vertical="top" textRotation="90"/>
    </xf>
    <xf numFmtId="164" fontId="0" fillId="0" borderId="0" xfId="0" applyNumberFormat="1" applyFont="1" applyFill="1" applyBorder="1" applyAlignment="1" quotePrefix="1">
      <alignment horizontal="center"/>
    </xf>
    <xf numFmtId="164" fontId="2" fillId="0" borderId="0" xfId="0" applyNumberFormat="1" applyFont="1" applyBorder="1" applyAlignment="1">
      <alignment horizontal="right"/>
    </xf>
    <xf numFmtId="164" fontId="2" fillId="5" borderId="0" xfId="0" applyNumberFormat="1" applyFont="1" applyFill="1" applyBorder="1" applyAlignment="1">
      <alignment horizontal="right"/>
    </xf>
    <xf numFmtId="164" fontId="2" fillId="6" borderId="0" xfId="0" applyNumberFormat="1" applyFont="1" applyFill="1" applyBorder="1" applyAlignment="1">
      <alignment/>
    </xf>
    <xf numFmtId="164" fontId="0" fillId="7" borderId="0" xfId="0" applyNumberFormat="1" applyFont="1" applyFill="1" applyBorder="1" applyAlignment="1">
      <alignment horizontal="center"/>
    </xf>
    <xf numFmtId="164" fontId="2" fillId="7" borderId="0" xfId="0" applyNumberFormat="1" applyFont="1" applyFill="1" applyBorder="1" applyAlignment="1">
      <alignment/>
    </xf>
    <xf numFmtId="164" fontId="0" fillId="0" borderId="0" xfId="0" applyNumberFormat="1" applyFont="1" applyBorder="1" applyAlignment="1">
      <alignment horizontal="right" vertical="top"/>
    </xf>
    <xf numFmtId="164" fontId="0" fillId="0" borderId="0" xfId="0" applyNumberFormat="1" applyFont="1" applyBorder="1" applyAlignment="1">
      <alignment horizontal="center" vertical="top"/>
    </xf>
    <xf numFmtId="164" fontId="0" fillId="0" borderId="0" xfId="0" applyNumberFormat="1" applyFont="1" applyFill="1" applyBorder="1" applyAlignment="1">
      <alignment/>
    </xf>
    <xf numFmtId="164" fontId="0" fillId="0" borderId="0" xfId="0" applyNumberFormat="1" applyFont="1" applyFill="1" applyBorder="1" applyAlignment="1">
      <alignment horizontal="center"/>
    </xf>
    <xf numFmtId="165"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164" fontId="0" fillId="7" borderId="0" xfId="0" applyNumberFormat="1" applyFont="1" applyFill="1" applyBorder="1" applyAlignment="1">
      <alignment horizontal="right"/>
    </xf>
    <xf numFmtId="164" fontId="0" fillId="7" borderId="0" xfId="0" applyNumberFormat="1" applyFont="1" applyFill="1" applyBorder="1" applyAlignment="1">
      <alignment horizontal="right" vertical="top"/>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164" fontId="0" fillId="2" borderId="0" xfId="0" applyNumberFormat="1" applyFont="1" applyFill="1" applyBorder="1" applyAlignment="1">
      <alignment horizontal="right" vertical="top" textRotation="90"/>
    </xf>
    <xf numFmtId="164" fontId="1" fillId="0" borderId="0" xfId="0" applyNumberFormat="1" applyFont="1" applyFill="1" applyBorder="1" applyAlignment="1">
      <alignment horizontal="left"/>
    </xf>
    <xf numFmtId="164" fontId="0" fillId="0" borderId="0" xfId="0" applyNumberFormat="1" applyFont="1" applyBorder="1" applyAlignment="1">
      <alignment vertical="top"/>
    </xf>
    <xf numFmtId="164" fontId="0" fillId="0" borderId="0" xfId="0" applyNumberFormat="1" applyFont="1" applyFill="1" applyBorder="1" applyAlignment="1">
      <alignment vertical="top" textRotation="90"/>
    </xf>
    <xf numFmtId="164" fontId="0" fillId="6" borderId="0" xfId="0" applyNumberFormat="1" applyFont="1" applyFill="1" applyBorder="1" applyAlignment="1">
      <alignment/>
    </xf>
    <xf numFmtId="164" fontId="0" fillId="4" borderId="0" xfId="0" applyNumberFormat="1" applyFont="1" applyFill="1" applyBorder="1" applyAlignment="1">
      <alignment/>
    </xf>
    <xf numFmtId="164" fontId="0" fillId="2" borderId="0" xfId="0" applyNumberFormat="1" applyFont="1" applyFill="1" applyBorder="1" applyAlignment="1">
      <alignment/>
    </xf>
    <xf numFmtId="2" fontId="0" fillId="7" borderId="0" xfId="0" applyNumberFormat="1" applyFill="1" applyAlignment="1">
      <alignment horizontal="right"/>
    </xf>
    <xf numFmtId="164" fontId="0" fillId="0" borderId="0" xfId="0" applyNumberFormat="1" applyFont="1" applyFill="1" applyBorder="1" applyAlignment="1">
      <alignment horizontal="right" vertical="top" textRotation="90"/>
    </xf>
    <xf numFmtId="164" fontId="0" fillId="0" borderId="0" xfId="0" applyNumberFormat="1" applyFont="1" applyFill="1" applyBorder="1" applyAlignment="1">
      <alignment horizontal="left" vertical="top" textRotation="90"/>
    </xf>
    <xf numFmtId="164" fontId="1" fillId="7" borderId="0" xfId="0" applyNumberFormat="1" applyFont="1" applyFill="1" applyBorder="1" applyAlignment="1">
      <alignment horizontal="right"/>
    </xf>
    <xf numFmtId="164" fontId="1" fillId="7" borderId="0" xfId="0" applyNumberFormat="1" applyFont="1" applyFill="1" applyBorder="1" applyAlignment="1">
      <alignment/>
    </xf>
    <xf numFmtId="2" fontId="0" fillId="2" borderId="0" xfId="0" applyNumberFormat="1" applyFill="1" applyBorder="1" applyAlignment="1">
      <alignment horizontal="right"/>
    </xf>
    <xf numFmtId="164" fontId="3" fillId="3" borderId="1" xfId="0" applyNumberFormat="1" applyFont="1" applyFill="1" applyBorder="1" applyAlignment="1">
      <alignment horizontal="right"/>
    </xf>
    <xf numFmtId="164" fontId="3" fillId="3" borderId="2" xfId="0" applyNumberFormat="1" applyFont="1" applyFill="1" applyBorder="1" applyAlignment="1">
      <alignment horizontal="right"/>
    </xf>
    <xf numFmtId="164" fontId="3" fillId="3" borderId="3" xfId="0" applyNumberFormat="1" applyFont="1" applyFill="1" applyBorder="1" applyAlignment="1">
      <alignment horizontal="left"/>
    </xf>
    <xf numFmtId="164" fontId="3" fillId="4" borderId="1" xfId="0" applyNumberFormat="1" applyFont="1" applyFill="1" applyBorder="1" applyAlignment="1">
      <alignment horizontal="right"/>
    </xf>
    <xf numFmtId="164" fontId="3" fillId="4" borderId="2" xfId="0" applyNumberFormat="1" applyFont="1" applyFill="1" applyBorder="1" applyAlignment="1">
      <alignment horizontal="left"/>
    </xf>
    <xf numFmtId="164" fontId="3" fillId="4" borderId="3" xfId="0" applyNumberFormat="1" applyFont="1" applyFill="1" applyBorder="1" applyAlignment="1">
      <alignment/>
    </xf>
    <xf numFmtId="164" fontId="3" fillId="6" borderId="1" xfId="0" applyNumberFormat="1" applyFont="1" applyFill="1" applyBorder="1" applyAlignment="1">
      <alignment horizontal="right"/>
    </xf>
    <xf numFmtId="164" fontId="3" fillId="6" borderId="2" xfId="0" applyNumberFormat="1" applyFont="1" applyFill="1" applyBorder="1" applyAlignment="1">
      <alignment horizontal="left"/>
    </xf>
    <xf numFmtId="164" fontId="3" fillId="6" borderId="3" xfId="0" applyNumberFormat="1" applyFont="1" applyFill="1" applyBorder="1" applyAlignment="1">
      <alignment/>
    </xf>
    <xf numFmtId="164" fontId="3" fillId="5" borderId="1" xfId="0" applyNumberFormat="1" applyFont="1" applyFill="1" applyBorder="1" applyAlignment="1">
      <alignment horizontal="right"/>
    </xf>
    <xf numFmtId="164" fontId="3" fillId="5" borderId="2" xfId="0" applyNumberFormat="1" applyFont="1" applyFill="1" applyBorder="1" applyAlignment="1">
      <alignment horizontal="right"/>
    </xf>
    <xf numFmtId="164" fontId="3" fillId="5" borderId="3" xfId="0" applyNumberFormat="1" applyFont="1" applyFill="1" applyBorder="1" applyAlignment="1">
      <alignment horizontal="left"/>
    </xf>
    <xf numFmtId="2" fontId="0" fillId="2" borderId="0" xfId="0" applyNumberFormat="1" applyFont="1" applyFill="1" applyBorder="1" applyAlignment="1">
      <alignment horizontal="right"/>
    </xf>
    <xf numFmtId="2" fontId="0" fillId="0" borderId="0" xfId="0" applyNumberFormat="1" applyFont="1" applyFill="1" applyBorder="1" applyAlignment="1">
      <alignment horizontal="right"/>
    </xf>
    <xf numFmtId="2" fontId="0" fillId="7" borderId="0" xfId="0" applyNumberFormat="1" applyFill="1" applyBorder="1" applyAlignment="1">
      <alignment horizontal="right"/>
    </xf>
    <xf numFmtId="2" fontId="0" fillId="0" borderId="0" xfId="0" applyNumberFormat="1" applyFont="1" applyBorder="1" applyAlignment="1">
      <alignment horizontal="right"/>
    </xf>
    <xf numFmtId="2" fontId="0" fillId="7" borderId="0" xfId="0" applyNumberFormat="1" applyFont="1" applyFill="1" applyBorder="1" applyAlignment="1">
      <alignment horizontal="right"/>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ill="1" applyBorder="1" applyAlignment="1">
      <alignment/>
    </xf>
    <xf numFmtId="0" fontId="0" fillId="0" borderId="4" xfId="0" applyFill="1" applyBorder="1" applyAlignment="1">
      <alignment/>
    </xf>
    <xf numFmtId="0" fontId="0" fillId="0" borderId="5" xfId="0" applyFill="1" applyBorder="1" applyAlignment="1">
      <alignment horizontal="right"/>
    </xf>
    <xf numFmtId="0" fontId="0" fillId="0" borderId="6" xfId="0" applyFill="1" applyBorder="1" applyAlignment="1">
      <alignment/>
    </xf>
    <xf numFmtId="2" fontId="8" fillId="0" borderId="0" xfId="0" applyNumberFormat="1" applyFont="1" applyFill="1" applyBorder="1" applyAlignment="1" applyProtection="1">
      <alignment horizontal="right"/>
      <protection locked="0"/>
    </xf>
    <xf numFmtId="164" fontId="9" fillId="0" borderId="0" xfId="0" applyNumberFormat="1" applyFont="1" applyFill="1" applyBorder="1" applyAlignment="1">
      <alignment horizontal="right"/>
    </xf>
    <xf numFmtId="2" fontId="9" fillId="0" borderId="0" xfId="0" applyNumberFormat="1" applyFont="1" applyFill="1" applyBorder="1" applyAlignment="1" applyProtection="1">
      <alignment horizontal="right" vertical="center"/>
      <protection/>
    </xf>
    <xf numFmtId="164" fontId="9" fillId="0" borderId="0" xfId="0" applyNumberFormat="1" applyFont="1" applyFill="1" applyBorder="1" applyAlignment="1">
      <alignment/>
    </xf>
    <xf numFmtId="0" fontId="9" fillId="0" borderId="0" xfId="0" applyFont="1" applyFill="1" applyBorder="1" applyAlignment="1" applyProtection="1">
      <alignment horizontal="right"/>
      <protection/>
    </xf>
    <xf numFmtId="2" fontId="9" fillId="0" borderId="0" xfId="0" applyNumberFormat="1" applyFont="1" applyFill="1" applyBorder="1" applyAlignment="1" applyProtection="1">
      <alignment horizontal="right"/>
      <protection locked="0"/>
    </xf>
    <xf numFmtId="0" fontId="9" fillId="0" borderId="0" xfId="0" applyFont="1" applyFill="1" applyBorder="1" applyAlignment="1" applyProtection="1">
      <alignment/>
      <protection/>
    </xf>
    <xf numFmtId="164" fontId="10" fillId="0" borderId="0" xfId="0" applyNumberFormat="1" applyFont="1" applyFill="1" applyBorder="1" applyAlignment="1">
      <alignment/>
    </xf>
    <xf numFmtId="164" fontId="6" fillId="0" borderId="0" xfId="0" applyNumberFormat="1" applyFont="1" applyFill="1" applyBorder="1" applyAlignment="1">
      <alignment horizontal="left"/>
    </xf>
    <xf numFmtId="164" fontId="1" fillId="0" borderId="0" xfId="0" applyNumberFormat="1" applyFont="1" applyBorder="1" applyAlignment="1">
      <alignment horizontal="left"/>
    </xf>
    <xf numFmtId="164" fontId="9" fillId="0" borderId="0" xfId="0" applyNumberFormat="1" applyFont="1" applyFill="1" applyBorder="1" applyAlignment="1">
      <alignment horizontal="right" vertical="top" textRotation="90"/>
    </xf>
    <xf numFmtId="2" fontId="9" fillId="0" borderId="0" xfId="0" applyNumberFormat="1" applyFont="1" applyFill="1" applyBorder="1" applyAlignment="1">
      <alignment horizontal="right" vertical="top" textRotation="90"/>
    </xf>
    <xf numFmtId="164" fontId="9" fillId="0" borderId="0" xfId="0" applyNumberFormat="1" applyFont="1" applyFill="1" applyBorder="1" applyAlignment="1">
      <alignment horizontal="left"/>
    </xf>
    <xf numFmtId="164" fontId="2" fillId="0" borderId="0" xfId="0" applyNumberFormat="1" applyFont="1" applyFill="1" applyBorder="1" applyAlignment="1">
      <alignment horizontal="left"/>
    </xf>
    <xf numFmtId="164" fontId="4" fillId="0" borderId="0" xfId="20" applyNumberFormat="1" applyBorder="1" applyAlignment="1">
      <alignment horizontal="left"/>
    </xf>
    <xf numFmtId="164" fontId="3" fillId="0" borderId="0" xfId="0" applyNumberFormat="1" applyFont="1" applyFill="1" applyBorder="1" applyAlignment="1">
      <alignment horizontal="left"/>
    </xf>
    <xf numFmtId="2" fontId="9" fillId="0" borderId="0" xfId="0" applyNumberFormat="1" applyFont="1" applyFill="1" applyBorder="1" applyAlignment="1">
      <alignment horizontal="left"/>
    </xf>
    <xf numFmtId="164" fontId="1" fillId="0" borderId="0" xfId="0" applyNumberFormat="1" applyFont="1" applyBorder="1" applyAlignment="1">
      <alignment horizontal="left" vertical="center" textRotation="90"/>
    </xf>
    <xf numFmtId="0" fontId="0" fillId="0" borderId="0" xfId="0" applyAlignment="1">
      <alignment horizontal="center"/>
    </xf>
    <xf numFmtId="0" fontId="0" fillId="0" borderId="0" xfId="0" applyAlignment="1">
      <alignment horizontal="center" wrapText="1"/>
    </xf>
    <xf numFmtId="10" fontId="0" fillId="0" borderId="0" xfId="0" applyNumberFormat="1" applyAlignment="1">
      <alignment horizontal="center"/>
    </xf>
    <xf numFmtId="0" fontId="0" fillId="0" borderId="0" xfId="0" applyAlignment="1">
      <alignment horizontal="right"/>
    </xf>
    <xf numFmtId="2" fontId="0" fillId="0" borderId="0" xfId="0" applyNumberFormat="1" applyAlignment="1">
      <alignment/>
    </xf>
    <xf numFmtId="2" fontId="0" fillId="0" borderId="0" xfId="0" applyNumberFormat="1" applyAlignment="1">
      <alignment horizontal="right"/>
    </xf>
    <xf numFmtId="0" fontId="0" fillId="0" borderId="0" xfId="0" applyNumberFormat="1" applyAlignment="1">
      <alignment horizontal="center"/>
    </xf>
    <xf numFmtId="0" fontId="1" fillId="0" borderId="0" xfId="0" applyFont="1" applyAlignment="1">
      <alignment horizontal="center"/>
    </xf>
    <xf numFmtId="2" fontId="9" fillId="0" borderId="0" xfId="0" applyNumberFormat="1" applyFont="1" applyFill="1" applyBorder="1" applyAlignment="1">
      <alignment horizontal="right"/>
    </xf>
    <xf numFmtId="164" fontId="9" fillId="0" borderId="0" xfId="0" applyNumberFormat="1" applyFont="1" applyFill="1" applyBorder="1" applyAlignment="1">
      <alignment/>
    </xf>
    <xf numFmtId="164" fontId="1" fillId="0" borderId="0" xfId="0" applyNumberFormat="1" applyFont="1" applyBorder="1" applyAlignment="1">
      <alignment horizontal="center"/>
    </xf>
    <xf numFmtId="0" fontId="0" fillId="0" borderId="7" xfId="0" applyFill="1" applyBorder="1" applyAlignment="1">
      <alignment horizontal="right"/>
    </xf>
    <xf numFmtId="0" fontId="0" fillId="0" borderId="0" xfId="0" applyFill="1" applyBorder="1" applyAlignment="1">
      <alignment horizontal="center"/>
    </xf>
    <xf numFmtId="0" fontId="0" fillId="0" borderId="8" xfId="0" applyFill="1" applyBorder="1" applyAlignment="1">
      <alignment horizontal="center"/>
    </xf>
    <xf numFmtId="1" fontId="0" fillId="0" borderId="0" xfId="0" applyNumberFormat="1" applyFont="1" applyBorder="1" applyAlignment="1">
      <alignment/>
    </xf>
    <xf numFmtId="164" fontId="1" fillId="0" borderId="0" xfId="0" applyNumberFormat="1" applyFont="1" applyBorder="1" applyAlignment="1">
      <alignment horizontal="left" vertical="center" textRotation="90"/>
    </xf>
    <xf numFmtId="164" fontId="0" fillId="0" borderId="0" xfId="0" applyNumberFormat="1" applyFont="1" applyFill="1" applyBorder="1" applyAlignment="1">
      <alignment horizontal="right" textRotation="90"/>
    </xf>
    <xf numFmtId="164" fontId="0" fillId="0" borderId="0" xfId="0" applyNumberFormat="1" applyFont="1" applyFill="1" applyBorder="1" applyAlignment="1">
      <alignment horizontal="left" textRotation="90"/>
    </xf>
    <xf numFmtId="0" fontId="0" fillId="0" borderId="0" xfId="0"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left"/>
    </xf>
    <xf numFmtId="0" fontId="1" fillId="8" borderId="9" xfId="0" applyFont="1" applyFill="1" applyBorder="1" applyAlignment="1">
      <alignment/>
    </xf>
    <xf numFmtId="0" fontId="0" fillId="8" borderId="10" xfId="0" applyFill="1" applyBorder="1" applyAlignment="1">
      <alignment horizontal="center"/>
    </xf>
    <xf numFmtId="0" fontId="0" fillId="8" borderId="11" xfId="0" applyFill="1" applyBorder="1" applyAlignment="1">
      <alignment/>
    </xf>
    <xf numFmtId="0" fontId="0" fillId="8" borderId="11" xfId="0" applyFill="1" applyBorder="1" applyAlignment="1">
      <alignment horizontal="center"/>
    </xf>
    <xf numFmtId="0" fontId="1" fillId="0"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0" i="0" u="none" baseline="0">
              <a:latin typeface="Arial"/>
              <a:ea typeface="Arial"/>
              <a:cs typeface="Arial"/>
            </a:defRPr>
          </a:pPr>
        </a:p>
      </c:txPr>
    </c:title>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Lit>
          </c:xVal>
          <c:yVal>
            <c:numLit>
              <c:ptCount val="15"/>
              <c:pt idx="0">
                <c:v>2772.47297613254</c:v>
              </c:pt>
              <c:pt idx="1">
                <c:v>2737.37838149795</c:v>
              </c:pt>
              <c:pt idx="2">
                <c:v>2395.20608381071</c:v>
              </c:pt>
              <c:pt idx="3">
                <c:v>1824.91892099863</c:v>
              </c:pt>
              <c:pt idx="4">
                <c:v>912.459460499317</c:v>
              </c:pt>
              <c:pt idx="5">
                <c:v>410.606757224693</c:v>
              </c:pt>
              <c:pt idx="6">
                <c:v>236.888513783476</c:v>
              </c:pt>
              <c:pt idx="7">
                <c:v>0</c:v>
              </c:pt>
              <c:pt idx="8">
                <c:v>-171.086148843622</c:v>
              </c:pt>
              <c:pt idx="9">
                <c:v>-228.114865124829</c:v>
              </c:pt>
              <c:pt idx="10">
                <c:v>-513.258446530866</c:v>
              </c:pt>
              <c:pt idx="11">
                <c:v>-1026.51689306173</c:v>
              </c:pt>
              <c:pt idx="12">
                <c:v>-1471.34088005515</c:v>
              </c:pt>
              <c:pt idx="13">
                <c:v>-1596.8040558738</c:v>
              </c:pt>
              <c:pt idx="14">
                <c:v>-1663.48378567952</c:v>
              </c:pt>
            </c:numLit>
          </c:yVal>
          <c:smooth val="0"/>
        </c:ser>
        <c:axId val="39950235"/>
        <c:axId val="24007796"/>
      </c:scatterChart>
      <c:valAx>
        <c:axId val="39950235"/>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24007796"/>
        <c:crosses val="autoZero"/>
        <c:crossBetween val="midCat"/>
        <c:dispUnits/>
      </c:valAx>
      <c:valAx>
        <c:axId val="24007796"/>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3995023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0" i="0" u="none" baseline="0">
              <a:latin typeface="Arial"/>
              <a:ea typeface="Arial"/>
              <a:cs typeface="Arial"/>
            </a:defRPr>
          </a:pPr>
        </a:p>
      </c:txPr>
    </c:title>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Lit>
          </c:xVal>
          <c:yVal>
            <c:numLit>
              <c:ptCount val="15"/>
              <c:pt idx="0">
                <c:v>2036.81438487291</c:v>
              </c:pt>
              <c:pt idx="1">
                <c:v>2011.0319243049</c:v>
              </c:pt>
              <c:pt idx="2">
                <c:v>1759.65293376679</c:v>
              </c:pt>
              <c:pt idx="3">
                <c:v>1340.6879495366</c:v>
              </c:pt>
              <c:pt idx="4">
                <c:v>670.343974768301</c:v>
              </c:pt>
              <c:pt idx="5">
                <c:v>301.654788645735</c:v>
              </c:pt>
              <c:pt idx="6">
                <c:v>174.031608834078</c:v>
              </c:pt>
              <c:pt idx="7">
                <c:v>0</c:v>
              </c:pt>
              <c:pt idx="8">
                <c:v>-125.689495269056</c:v>
              </c:pt>
              <c:pt idx="9">
                <c:v>-167.585993692075</c:v>
              </c:pt>
              <c:pt idx="10">
                <c:v>-377.068485807169</c:v>
              </c:pt>
              <c:pt idx="11">
                <c:v>-754.136971614338</c:v>
              </c:pt>
              <c:pt idx="12">
                <c:v>-1080.92965931388</c:v>
              </c:pt>
              <c:pt idx="13">
                <c:v>-1173.10195584453</c:v>
              </c:pt>
              <c:pt idx="14">
                <c:v>-1222.08863092375</c:v>
              </c:pt>
            </c:numLit>
          </c:yVal>
          <c:smooth val="0"/>
        </c:ser>
        <c:axId val="14743573"/>
        <c:axId val="65583294"/>
      </c:scatterChart>
      <c:valAx>
        <c:axId val="14743573"/>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65583294"/>
        <c:crosses val="autoZero"/>
        <c:crossBetween val="midCat"/>
        <c:dispUnits/>
      </c:valAx>
      <c:valAx>
        <c:axId val="65583294"/>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1474357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'Damper setup - 2up'!$F$9:$F$23</c:f>
              <c:numCache>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Cache>
            </c:numRef>
          </c:xVal>
          <c:yVal>
            <c:numRef>
              <c:f>'Damper setup - 2up'!$G$9:$G$23</c:f>
              <c:numCache>
                <c:ptCount val="15"/>
                <c:pt idx="0">
                  <c:v>2298.8131508078995</c:v>
                </c:pt>
                <c:pt idx="1">
                  <c:v>2269.7142501647613</c:v>
                </c:pt>
                <c:pt idx="2">
                  <c:v>1985.9999688941662</c:v>
                </c:pt>
                <c:pt idx="3">
                  <c:v>1513.1428334431744</c:v>
                </c:pt>
                <c:pt idx="4">
                  <c:v>756.5714167215872</c:v>
                </c:pt>
                <c:pt idx="5">
                  <c:v>340.4571375247142</c:v>
                </c:pt>
                <c:pt idx="6">
                  <c:v>196.41757934118124</c:v>
                </c:pt>
                <c:pt idx="7">
                  <c:v>0</c:v>
                </c:pt>
                <c:pt idx="8">
                  <c:v>-141.85714063529755</c:v>
                </c:pt>
                <c:pt idx="9">
                  <c:v>-189.14285418039677</c:v>
                </c:pt>
                <c:pt idx="10">
                  <c:v>-425.5714219058928</c:v>
                </c:pt>
                <c:pt idx="11">
                  <c:v>-851.1428438117856</c:v>
                </c:pt>
                <c:pt idx="12">
                  <c:v>-1219.9714094635592</c:v>
                </c:pt>
                <c:pt idx="13">
                  <c:v>-1323.9999792627775</c:v>
                </c:pt>
                <c:pt idx="14">
                  <c:v>-1379.2878904847394</c:v>
                </c:pt>
              </c:numCache>
            </c:numRef>
          </c:yVal>
          <c:smooth val="0"/>
        </c:ser>
        <c:axId val="53378735"/>
        <c:axId val="10646568"/>
      </c:scatterChart>
      <c:valAx>
        <c:axId val="53378735"/>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10646568"/>
        <c:crosses val="autoZero"/>
        <c:crossBetween val="midCat"/>
        <c:dispUnits/>
      </c:valAx>
      <c:valAx>
        <c:axId val="10646568"/>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5337873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'Damper setup - 2up'!$M$9:$M$23</c:f>
              <c:numCache>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Cache>
            </c:numRef>
          </c:xVal>
          <c:yVal>
            <c:numRef>
              <c:f>'Damper setup - 2up'!$N$9:$N$23</c:f>
              <c:numCache>
                <c:ptCount val="15"/>
                <c:pt idx="0">
                  <c:v>2036.8143848729142</c:v>
                </c:pt>
                <c:pt idx="1">
                  <c:v>2011.031924304902</c:v>
                </c:pt>
                <c:pt idx="2">
                  <c:v>1759.6529337667894</c:v>
                </c:pt>
                <c:pt idx="3">
                  <c:v>1340.6879495366018</c:v>
                </c:pt>
                <c:pt idx="4">
                  <c:v>670.3439747683009</c:v>
                </c:pt>
                <c:pt idx="5">
                  <c:v>301.6547886457354</c:v>
                </c:pt>
                <c:pt idx="6">
                  <c:v>174.03160883407807</c:v>
                </c:pt>
                <c:pt idx="7">
                  <c:v>0</c:v>
                </c:pt>
                <c:pt idx="8">
                  <c:v>-125.68949526905638</c:v>
                </c:pt>
                <c:pt idx="9">
                  <c:v>-167.5859936920752</c:v>
                </c:pt>
                <c:pt idx="10">
                  <c:v>-377.0684858071692</c:v>
                </c:pt>
                <c:pt idx="11">
                  <c:v>-754.1369716143384</c:v>
                </c:pt>
                <c:pt idx="12">
                  <c:v>-1080.929659313885</c:v>
                </c:pt>
                <c:pt idx="13">
                  <c:v>-1173.1019558445262</c:v>
                </c:pt>
                <c:pt idx="14">
                  <c:v>-1222.088630923748</c:v>
                </c:pt>
              </c:numCache>
            </c:numRef>
          </c:yVal>
          <c:smooth val="0"/>
        </c:ser>
        <c:axId val="28710249"/>
        <c:axId val="57065650"/>
      </c:scatterChart>
      <c:valAx>
        <c:axId val="28710249"/>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57065650"/>
        <c:crosses val="autoZero"/>
        <c:crossBetween val="midCat"/>
        <c:dispUnits/>
      </c:valAx>
      <c:valAx>
        <c:axId val="57065650"/>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2871024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'Damper setup - 2up'!$F$9:$F$23</c:f>
              <c:numCache>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Cache>
            </c:numRef>
          </c:xVal>
          <c:yVal>
            <c:numRef>
              <c:f>'Damper setup - 2up'!$G$9:$G$23</c:f>
              <c:numCache>
                <c:ptCount val="15"/>
                <c:pt idx="0">
                  <c:v>2298.8131508078995</c:v>
                </c:pt>
                <c:pt idx="1">
                  <c:v>2269.7142501647613</c:v>
                </c:pt>
                <c:pt idx="2">
                  <c:v>1985.9999688941662</c:v>
                </c:pt>
                <c:pt idx="3">
                  <c:v>1513.1428334431744</c:v>
                </c:pt>
                <c:pt idx="4">
                  <c:v>756.5714167215872</c:v>
                </c:pt>
                <c:pt idx="5">
                  <c:v>340.4571375247142</c:v>
                </c:pt>
                <c:pt idx="6">
                  <c:v>196.41757934118124</c:v>
                </c:pt>
                <c:pt idx="7">
                  <c:v>0</c:v>
                </c:pt>
                <c:pt idx="8">
                  <c:v>-141.85714063529755</c:v>
                </c:pt>
                <c:pt idx="9">
                  <c:v>-189.14285418039677</c:v>
                </c:pt>
                <c:pt idx="10">
                  <c:v>-425.5714219058928</c:v>
                </c:pt>
                <c:pt idx="11">
                  <c:v>-851.1428438117856</c:v>
                </c:pt>
                <c:pt idx="12">
                  <c:v>-1219.9714094635592</c:v>
                </c:pt>
                <c:pt idx="13">
                  <c:v>-1323.9999792627775</c:v>
                </c:pt>
                <c:pt idx="14">
                  <c:v>-1379.2878904847394</c:v>
                </c:pt>
              </c:numCache>
            </c:numRef>
          </c:yVal>
          <c:smooth val="0"/>
        </c:ser>
        <c:axId val="43828803"/>
        <c:axId val="58914908"/>
      </c:scatterChart>
      <c:valAx>
        <c:axId val="43828803"/>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58914908"/>
        <c:crosses val="autoZero"/>
        <c:crossBetween val="midCat"/>
        <c:dispUnits/>
      </c:valAx>
      <c:valAx>
        <c:axId val="58914908"/>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4382880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'Damper setup - 2up'!$M$9:$M$23</c:f>
              <c:numCache>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Cache>
            </c:numRef>
          </c:xVal>
          <c:yVal>
            <c:numRef>
              <c:f>'Damper setup - 2up'!$N$9:$N$23</c:f>
              <c:numCache>
                <c:ptCount val="15"/>
                <c:pt idx="0">
                  <c:v>2036.8143848729142</c:v>
                </c:pt>
                <c:pt idx="1">
                  <c:v>2011.031924304902</c:v>
                </c:pt>
                <c:pt idx="2">
                  <c:v>1759.6529337667894</c:v>
                </c:pt>
                <c:pt idx="3">
                  <c:v>1340.6879495366018</c:v>
                </c:pt>
                <c:pt idx="4">
                  <c:v>670.3439747683009</c:v>
                </c:pt>
                <c:pt idx="5">
                  <c:v>301.6547886457354</c:v>
                </c:pt>
                <c:pt idx="6">
                  <c:v>174.03160883407807</c:v>
                </c:pt>
                <c:pt idx="7">
                  <c:v>0</c:v>
                </c:pt>
                <c:pt idx="8">
                  <c:v>-125.68949526905638</c:v>
                </c:pt>
                <c:pt idx="9">
                  <c:v>-167.5859936920752</c:v>
                </c:pt>
                <c:pt idx="10">
                  <c:v>-377.0684858071692</c:v>
                </c:pt>
                <c:pt idx="11">
                  <c:v>-754.1369716143384</c:v>
                </c:pt>
                <c:pt idx="12">
                  <c:v>-1080.929659313885</c:v>
                </c:pt>
                <c:pt idx="13">
                  <c:v>-1173.1019558445262</c:v>
                </c:pt>
                <c:pt idx="14">
                  <c:v>-1222.088630923748</c:v>
                </c:pt>
              </c:numCache>
            </c:numRef>
          </c:yVal>
          <c:smooth val="0"/>
        </c:ser>
        <c:axId val="60472125"/>
        <c:axId val="7378214"/>
      </c:scatterChart>
      <c:valAx>
        <c:axId val="60472125"/>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7378214"/>
        <c:crosses val="autoZero"/>
        <c:crossBetween val="midCat"/>
        <c:dispUnits/>
      </c:valAx>
      <c:valAx>
        <c:axId val="7378214"/>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6047212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'Damper setup - 2up'!$F$9:$F$23</c:f>
              <c:numCache>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Cache>
            </c:numRef>
          </c:xVal>
          <c:yVal>
            <c:numRef>
              <c:f>'Damper setup - 2up'!$G$9:$G$23</c:f>
              <c:numCache>
                <c:ptCount val="15"/>
                <c:pt idx="0">
                  <c:v>2298.8131508078995</c:v>
                </c:pt>
                <c:pt idx="1">
                  <c:v>2269.7142501647613</c:v>
                </c:pt>
                <c:pt idx="2">
                  <c:v>1985.9999688941662</c:v>
                </c:pt>
                <c:pt idx="3">
                  <c:v>1513.1428334431744</c:v>
                </c:pt>
                <c:pt idx="4">
                  <c:v>756.5714167215872</c:v>
                </c:pt>
                <c:pt idx="5">
                  <c:v>340.4571375247142</c:v>
                </c:pt>
                <c:pt idx="6">
                  <c:v>196.41757934118124</c:v>
                </c:pt>
                <c:pt idx="7">
                  <c:v>0</c:v>
                </c:pt>
                <c:pt idx="8">
                  <c:v>-141.85714063529755</c:v>
                </c:pt>
                <c:pt idx="9">
                  <c:v>-189.14285418039677</c:v>
                </c:pt>
                <c:pt idx="10">
                  <c:v>-425.5714219058928</c:v>
                </c:pt>
                <c:pt idx="11">
                  <c:v>-851.1428438117856</c:v>
                </c:pt>
                <c:pt idx="12">
                  <c:v>-1219.9714094635592</c:v>
                </c:pt>
                <c:pt idx="13">
                  <c:v>-1323.9999792627775</c:v>
                </c:pt>
                <c:pt idx="14">
                  <c:v>-1379.2878904847394</c:v>
                </c:pt>
              </c:numCache>
            </c:numRef>
          </c:yVal>
          <c:smooth val="0"/>
        </c:ser>
        <c:axId val="66403927"/>
        <c:axId val="60764432"/>
      </c:scatterChart>
      <c:valAx>
        <c:axId val="66403927"/>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60764432"/>
        <c:crosses val="autoZero"/>
        <c:crossBetween val="midCat"/>
        <c:dispUnits/>
      </c:valAx>
      <c:valAx>
        <c:axId val="60764432"/>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6640392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Series1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'Damper setup - 2up'!$M$9:$M$23</c:f>
              <c:numCache>
                <c:ptCount val="15"/>
                <c:pt idx="0">
                  <c:v>0.79</c:v>
                </c:pt>
                <c:pt idx="1">
                  <c:v>0.52</c:v>
                </c:pt>
                <c:pt idx="2">
                  <c:v>0.39</c:v>
                </c:pt>
                <c:pt idx="3">
                  <c:v>0.26</c:v>
                </c:pt>
                <c:pt idx="4">
                  <c:v>0.13</c:v>
                </c:pt>
                <c:pt idx="5">
                  <c:v>0.052</c:v>
                </c:pt>
                <c:pt idx="6">
                  <c:v>0.03</c:v>
                </c:pt>
                <c:pt idx="7">
                  <c:v>0</c:v>
                </c:pt>
                <c:pt idx="8">
                  <c:v>-0.03</c:v>
                </c:pt>
                <c:pt idx="9">
                  <c:v>-0.052</c:v>
                </c:pt>
                <c:pt idx="10">
                  <c:v>-0.13</c:v>
                </c:pt>
                <c:pt idx="11">
                  <c:v>-0.26</c:v>
                </c:pt>
                <c:pt idx="12">
                  <c:v>-0.39</c:v>
                </c:pt>
                <c:pt idx="13">
                  <c:v>-0.52</c:v>
                </c:pt>
                <c:pt idx="14">
                  <c:v>-0.79</c:v>
                </c:pt>
              </c:numCache>
            </c:numRef>
          </c:xVal>
          <c:yVal>
            <c:numRef>
              <c:f>'Damper setup - 2up'!$N$9:$N$23</c:f>
              <c:numCache>
                <c:ptCount val="15"/>
                <c:pt idx="0">
                  <c:v>2036.8143848729142</c:v>
                </c:pt>
                <c:pt idx="1">
                  <c:v>2011.031924304902</c:v>
                </c:pt>
                <c:pt idx="2">
                  <c:v>1759.6529337667894</c:v>
                </c:pt>
                <c:pt idx="3">
                  <c:v>1340.6879495366018</c:v>
                </c:pt>
                <c:pt idx="4">
                  <c:v>670.3439747683009</c:v>
                </c:pt>
                <c:pt idx="5">
                  <c:v>301.6547886457354</c:v>
                </c:pt>
                <c:pt idx="6">
                  <c:v>174.03160883407807</c:v>
                </c:pt>
                <c:pt idx="7">
                  <c:v>0</c:v>
                </c:pt>
                <c:pt idx="8">
                  <c:v>-125.68949526905638</c:v>
                </c:pt>
                <c:pt idx="9">
                  <c:v>-167.5859936920752</c:v>
                </c:pt>
                <c:pt idx="10">
                  <c:v>-377.0684858071692</c:v>
                </c:pt>
                <c:pt idx="11">
                  <c:v>-754.1369716143384</c:v>
                </c:pt>
                <c:pt idx="12">
                  <c:v>-1080.929659313885</c:v>
                </c:pt>
                <c:pt idx="13">
                  <c:v>-1173.1019558445262</c:v>
                </c:pt>
                <c:pt idx="14">
                  <c:v>-1222.088630923748</c:v>
                </c:pt>
              </c:numCache>
            </c:numRef>
          </c:yVal>
          <c:smooth val="0"/>
        </c:ser>
        <c:axId val="10008977"/>
        <c:axId val="22971930"/>
      </c:scatterChart>
      <c:valAx>
        <c:axId val="10008977"/>
        <c:scaling>
          <c:orientation val="minMax"/>
          <c:max val="0.8"/>
          <c:min val="-0.8"/>
        </c:scaling>
        <c:axPos val="b"/>
        <c:majorGridlines>
          <c:spPr>
            <a:ln w="3175">
              <a:solidFill>
                <a:srgbClr val="C0C0C0"/>
              </a:solidFill>
              <a:prstDash val="sysDot"/>
            </a:ln>
          </c:spPr>
        </c:majorGridlines>
        <c:delete val="0"/>
        <c:numFmt formatCode="General" sourceLinked="0"/>
        <c:majorTickMark val="out"/>
        <c:minorTickMark val="none"/>
        <c:tickLblPos val="nextTo"/>
        <c:crossAx val="22971930"/>
        <c:crosses val="autoZero"/>
        <c:crossBetween val="midCat"/>
        <c:dispUnits/>
      </c:valAx>
      <c:valAx>
        <c:axId val="22971930"/>
        <c:scaling>
          <c:orientation val="minMax"/>
          <c:max val="3000"/>
          <c:min val="-2000"/>
        </c:scaling>
        <c:axPos val="l"/>
        <c:majorGridlines>
          <c:spPr>
            <a:ln w="3175">
              <a:solidFill>
                <a:srgbClr val="C0C0C0"/>
              </a:solidFill>
              <a:prstDash val="sysDot"/>
            </a:ln>
          </c:spPr>
        </c:majorGridlines>
        <c:delete val="0"/>
        <c:numFmt formatCode="General" sourceLinked="0"/>
        <c:majorTickMark val="out"/>
        <c:minorTickMark val="none"/>
        <c:tickLblPos val="nextTo"/>
        <c:crossAx val="1000897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xdr:row>
      <xdr:rowOff>104775</xdr:rowOff>
    </xdr:from>
    <xdr:to>
      <xdr:col>5</xdr:col>
      <xdr:colOff>428625</xdr:colOff>
      <xdr:row>22</xdr:row>
      <xdr:rowOff>38100</xdr:rowOff>
    </xdr:to>
    <xdr:grpSp>
      <xdr:nvGrpSpPr>
        <xdr:cNvPr id="1" name="Group 1"/>
        <xdr:cNvGrpSpPr>
          <a:grpSpLocks/>
        </xdr:cNvGrpSpPr>
      </xdr:nvGrpSpPr>
      <xdr:grpSpPr>
        <a:xfrm>
          <a:off x="2438400" y="1019175"/>
          <a:ext cx="1304925" cy="2371725"/>
          <a:chOff x="367" y="142"/>
          <a:chExt cx="137" cy="264"/>
        </a:xfrm>
        <a:solidFill>
          <a:srgbClr val="FFFFFF"/>
        </a:solidFill>
      </xdr:grpSpPr>
      <xdr:grpSp>
        <xdr:nvGrpSpPr>
          <xdr:cNvPr id="2" name="Group 2"/>
          <xdr:cNvGrpSpPr>
            <a:grpSpLocks/>
          </xdr:cNvGrpSpPr>
        </xdr:nvGrpSpPr>
        <xdr:grpSpPr>
          <a:xfrm flipH="1">
            <a:off x="456" y="184"/>
            <a:ext cx="17" cy="11"/>
            <a:chOff x="2899" y="2272"/>
            <a:chExt cx="285" cy="171"/>
          </a:xfrm>
          <a:solidFill>
            <a:srgbClr val="FFFFFF"/>
          </a:solidFill>
        </xdr:grpSpPr>
        <xdr:sp>
          <xdr:nvSpPr>
            <xdr:cNvPr id="3" name="AutoShape 3"/>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 name="Group 5"/>
          <xdr:cNvGrpSpPr>
            <a:grpSpLocks/>
          </xdr:cNvGrpSpPr>
        </xdr:nvGrpSpPr>
        <xdr:grpSpPr>
          <a:xfrm>
            <a:off x="395" y="184"/>
            <a:ext cx="17" cy="11"/>
            <a:chOff x="2899" y="2272"/>
            <a:chExt cx="285" cy="171"/>
          </a:xfrm>
          <a:solidFill>
            <a:srgbClr val="FFFFFF"/>
          </a:solidFill>
        </xdr:grpSpPr>
        <xdr:sp>
          <xdr:nvSpPr>
            <xdr:cNvPr id="6" name="AutoShape 6"/>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8" name="AutoShape 8"/>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0"/>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29"/>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39"/>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0"/>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Oval 41"/>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AutoShape 42"/>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3"/>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266700</xdr:colOff>
      <xdr:row>5</xdr:row>
      <xdr:rowOff>0</xdr:rowOff>
    </xdr:from>
    <xdr:to>
      <xdr:col>22</xdr:col>
      <xdr:colOff>190500</xdr:colOff>
      <xdr:row>14</xdr:row>
      <xdr:rowOff>66675</xdr:rowOff>
    </xdr:to>
    <xdr:graphicFrame>
      <xdr:nvGraphicFramePr>
        <xdr:cNvPr id="44" name="Chart 55"/>
        <xdr:cNvGraphicFramePr/>
      </xdr:nvGraphicFramePr>
      <xdr:xfrm>
        <a:off x="9324975" y="762000"/>
        <a:ext cx="3352800" cy="1438275"/>
      </xdr:xfrm>
      <a:graphic>
        <a:graphicData uri="http://schemas.openxmlformats.org/drawingml/2006/chart">
          <c:chart xmlns:c="http://schemas.openxmlformats.org/drawingml/2006/chart" r:id="rId1"/>
        </a:graphicData>
      </a:graphic>
    </xdr:graphicFrame>
    <xdr:clientData/>
  </xdr:twoCellAnchor>
  <xdr:twoCellAnchor>
    <xdr:from>
      <xdr:col>13</xdr:col>
      <xdr:colOff>266700</xdr:colOff>
      <xdr:row>14</xdr:row>
      <xdr:rowOff>66675</xdr:rowOff>
    </xdr:from>
    <xdr:to>
      <xdr:col>22</xdr:col>
      <xdr:colOff>190500</xdr:colOff>
      <xdr:row>25</xdr:row>
      <xdr:rowOff>95250</xdr:rowOff>
    </xdr:to>
    <xdr:graphicFrame>
      <xdr:nvGraphicFramePr>
        <xdr:cNvPr id="45" name="Chart 56"/>
        <xdr:cNvGraphicFramePr/>
      </xdr:nvGraphicFramePr>
      <xdr:xfrm>
        <a:off x="9324975" y="2200275"/>
        <a:ext cx="3352800" cy="1704975"/>
      </xdr:xfrm>
      <a:graphic>
        <a:graphicData uri="http://schemas.openxmlformats.org/drawingml/2006/chart">
          <c:chart xmlns:c="http://schemas.openxmlformats.org/drawingml/2006/chart" r:id="rId2"/>
        </a:graphicData>
      </a:graphic>
    </xdr:graphicFrame>
    <xdr:clientData/>
  </xdr:twoCellAnchor>
  <xdr:twoCellAnchor>
    <xdr:from>
      <xdr:col>3</xdr:col>
      <xdr:colOff>19050</xdr:colOff>
      <xdr:row>6</xdr:row>
      <xdr:rowOff>104775</xdr:rowOff>
    </xdr:from>
    <xdr:to>
      <xdr:col>5</xdr:col>
      <xdr:colOff>428625</xdr:colOff>
      <xdr:row>22</xdr:row>
      <xdr:rowOff>38100</xdr:rowOff>
    </xdr:to>
    <xdr:grpSp>
      <xdr:nvGrpSpPr>
        <xdr:cNvPr id="46" name="Group 57"/>
        <xdr:cNvGrpSpPr>
          <a:grpSpLocks/>
        </xdr:cNvGrpSpPr>
      </xdr:nvGrpSpPr>
      <xdr:grpSpPr>
        <a:xfrm>
          <a:off x="2438400" y="1019175"/>
          <a:ext cx="1304925" cy="2371725"/>
          <a:chOff x="367" y="142"/>
          <a:chExt cx="137" cy="264"/>
        </a:xfrm>
        <a:solidFill>
          <a:srgbClr val="FFFFFF"/>
        </a:solidFill>
      </xdr:grpSpPr>
      <xdr:grpSp>
        <xdr:nvGrpSpPr>
          <xdr:cNvPr id="47" name="Group 58"/>
          <xdr:cNvGrpSpPr>
            <a:grpSpLocks/>
          </xdr:cNvGrpSpPr>
        </xdr:nvGrpSpPr>
        <xdr:grpSpPr>
          <a:xfrm flipH="1">
            <a:off x="456" y="184"/>
            <a:ext cx="17" cy="11"/>
            <a:chOff x="2899" y="2272"/>
            <a:chExt cx="285" cy="171"/>
          </a:xfrm>
          <a:solidFill>
            <a:srgbClr val="FFFFFF"/>
          </a:solidFill>
        </xdr:grpSpPr>
        <xdr:sp>
          <xdr:nvSpPr>
            <xdr:cNvPr id="48" name="AutoShape 59"/>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60"/>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0" name="Group 61"/>
          <xdr:cNvGrpSpPr>
            <a:grpSpLocks/>
          </xdr:cNvGrpSpPr>
        </xdr:nvGrpSpPr>
        <xdr:grpSpPr>
          <a:xfrm>
            <a:off x="395" y="184"/>
            <a:ext cx="17" cy="11"/>
            <a:chOff x="2899" y="2272"/>
            <a:chExt cx="285" cy="171"/>
          </a:xfrm>
          <a:solidFill>
            <a:srgbClr val="FFFFFF"/>
          </a:solidFill>
        </xdr:grpSpPr>
        <xdr:sp>
          <xdr:nvSpPr>
            <xdr:cNvPr id="51" name="AutoShape 62"/>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63"/>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53" name="AutoShape 64"/>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65"/>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66"/>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67"/>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7" name="AutoShape 68"/>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69"/>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70"/>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71"/>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72"/>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73"/>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3" name="AutoShape 74"/>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4" name="AutoShape 75"/>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76"/>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AutoShape 77"/>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7" name="AutoShape 78"/>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8" name="AutoShape 79"/>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AutoShape 80"/>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AutoShape 81"/>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1" name="AutoShape 82"/>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AutoShape 83"/>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AutoShape 84"/>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4" name="AutoShape 85"/>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5" name="AutoShape 86"/>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AutoShape 87"/>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7" name="AutoShape 88"/>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AutoShape 89"/>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AutoShape 90"/>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0" name="AutoShape 91"/>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1" name="AutoShape 92"/>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2" name="AutoShape 93"/>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3" name="AutoShape 94"/>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4" name="AutoShape 95"/>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5" name="AutoShape 96"/>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6" name="Oval 97"/>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AutoShape 98"/>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8" name="AutoShape 99"/>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19050</xdr:colOff>
      <xdr:row>6</xdr:row>
      <xdr:rowOff>104775</xdr:rowOff>
    </xdr:from>
    <xdr:to>
      <xdr:col>5</xdr:col>
      <xdr:colOff>428625</xdr:colOff>
      <xdr:row>22</xdr:row>
      <xdr:rowOff>38100</xdr:rowOff>
    </xdr:to>
    <xdr:grpSp>
      <xdr:nvGrpSpPr>
        <xdr:cNvPr id="89" name="Group 100"/>
        <xdr:cNvGrpSpPr>
          <a:grpSpLocks/>
        </xdr:cNvGrpSpPr>
      </xdr:nvGrpSpPr>
      <xdr:grpSpPr>
        <a:xfrm>
          <a:off x="2438400" y="1019175"/>
          <a:ext cx="1304925" cy="2371725"/>
          <a:chOff x="367" y="142"/>
          <a:chExt cx="137" cy="264"/>
        </a:xfrm>
        <a:solidFill>
          <a:srgbClr val="FFFFFF"/>
        </a:solidFill>
      </xdr:grpSpPr>
      <xdr:grpSp>
        <xdr:nvGrpSpPr>
          <xdr:cNvPr id="90" name="Group 101"/>
          <xdr:cNvGrpSpPr>
            <a:grpSpLocks/>
          </xdr:cNvGrpSpPr>
        </xdr:nvGrpSpPr>
        <xdr:grpSpPr>
          <a:xfrm flipH="1">
            <a:off x="456" y="184"/>
            <a:ext cx="17" cy="11"/>
            <a:chOff x="2899" y="2272"/>
            <a:chExt cx="285" cy="171"/>
          </a:xfrm>
          <a:solidFill>
            <a:srgbClr val="FFFFFF"/>
          </a:solidFill>
        </xdr:grpSpPr>
        <xdr:sp>
          <xdr:nvSpPr>
            <xdr:cNvPr id="91" name="AutoShape 102"/>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2" name="AutoShape 103"/>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3" name="Group 104"/>
          <xdr:cNvGrpSpPr>
            <a:grpSpLocks/>
          </xdr:cNvGrpSpPr>
        </xdr:nvGrpSpPr>
        <xdr:grpSpPr>
          <a:xfrm>
            <a:off x="395" y="184"/>
            <a:ext cx="17" cy="11"/>
            <a:chOff x="2899" y="2272"/>
            <a:chExt cx="285" cy="171"/>
          </a:xfrm>
          <a:solidFill>
            <a:srgbClr val="FFFFFF"/>
          </a:solidFill>
        </xdr:grpSpPr>
        <xdr:sp>
          <xdr:nvSpPr>
            <xdr:cNvPr id="94" name="AutoShape 105"/>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5" name="AutoShape 106"/>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96" name="AutoShape 107"/>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7" name="AutoShape 108"/>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8" name="AutoShape 109"/>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9" name="AutoShape 110"/>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0" name="AutoShape 111"/>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1" name="AutoShape 112"/>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2" name="AutoShape 113"/>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3" name="AutoShape 114"/>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4" name="AutoShape 115"/>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5" name="AutoShape 116"/>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6" name="AutoShape 117"/>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7" name="AutoShape 118"/>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8" name="AutoShape 119"/>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9" name="AutoShape 120"/>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0" name="AutoShape 121"/>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1" name="AutoShape 122"/>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2" name="AutoShape 123"/>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3" name="AutoShape 124"/>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4" name="AutoShape 125"/>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5" name="AutoShape 126"/>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6" name="AutoShape 127"/>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7" name="AutoShape 128"/>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8" name="AutoShape 129"/>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9" name="AutoShape 130"/>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0" name="AutoShape 131"/>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1" name="AutoShape 132"/>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2" name="AutoShape 133"/>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3" name="AutoShape 134"/>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4" name="AutoShape 135"/>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5" name="AutoShape 136"/>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6" name="AutoShape 137"/>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7" name="AutoShape 138"/>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8" name="AutoShape 139"/>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9" name="Oval 140"/>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AutoShape 141"/>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1" name="AutoShape 142"/>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266700</xdr:colOff>
      <xdr:row>5</xdr:row>
      <xdr:rowOff>0</xdr:rowOff>
    </xdr:from>
    <xdr:to>
      <xdr:col>22</xdr:col>
      <xdr:colOff>190500</xdr:colOff>
      <xdr:row>14</xdr:row>
      <xdr:rowOff>66675</xdr:rowOff>
    </xdr:to>
    <xdr:graphicFrame>
      <xdr:nvGraphicFramePr>
        <xdr:cNvPr id="132" name="Chart 189"/>
        <xdr:cNvGraphicFramePr/>
      </xdr:nvGraphicFramePr>
      <xdr:xfrm>
        <a:off x="9324975" y="762000"/>
        <a:ext cx="3352800" cy="1438275"/>
      </xdr:xfrm>
      <a:graphic>
        <a:graphicData uri="http://schemas.openxmlformats.org/drawingml/2006/chart">
          <c:chart xmlns:c="http://schemas.openxmlformats.org/drawingml/2006/chart" r:id="rId3"/>
        </a:graphicData>
      </a:graphic>
    </xdr:graphicFrame>
    <xdr:clientData/>
  </xdr:twoCellAnchor>
  <xdr:twoCellAnchor>
    <xdr:from>
      <xdr:col>13</xdr:col>
      <xdr:colOff>266700</xdr:colOff>
      <xdr:row>14</xdr:row>
      <xdr:rowOff>66675</xdr:rowOff>
    </xdr:from>
    <xdr:to>
      <xdr:col>22</xdr:col>
      <xdr:colOff>190500</xdr:colOff>
      <xdr:row>25</xdr:row>
      <xdr:rowOff>95250</xdr:rowOff>
    </xdr:to>
    <xdr:graphicFrame>
      <xdr:nvGraphicFramePr>
        <xdr:cNvPr id="133" name="Chart 190"/>
        <xdr:cNvGraphicFramePr/>
      </xdr:nvGraphicFramePr>
      <xdr:xfrm>
        <a:off x="9324975" y="2200275"/>
        <a:ext cx="3352800" cy="17049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xdr:row>
      <xdr:rowOff>104775</xdr:rowOff>
    </xdr:from>
    <xdr:to>
      <xdr:col>5</xdr:col>
      <xdr:colOff>428625</xdr:colOff>
      <xdr:row>22</xdr:row>
      <xdr:rowOff>38100</xdr:rowOff>
    </xdr:to>
    <xdr:grpSp>
      <xdr:nvGrpSpPr>
        <xdr:cNvPr id="1" name="Group 1"/>
        <xdr:cNvGrpSpPr>
          <a:grpSpLocks/>
        </xdr:cNvGrpSpPr>
      </xdr:nvGrpSpPr>
      <xdr:grpSpPr>
        <a:xfrm>
          <a:off x="2438400" y="1019175"/>
          <a:ext cx="1304925" cy="2371725"/>
          <a:chOff x="367" y="142"/>
          <a:chExt cx="137" cy="264"/>
        </a:xfrm>
        <a:solidFill>
          <a:srgbClr val="FFFFFF"/>
        </a:solidFill>
      </xdr:grpSpPr>
      <xdr:grpSp>
        <xdr:nvGrpSpPr>
          <xdr:cNvPr id="2" name="Group 2"/>
          <xdr:cNvGrpSpPr>
            <a:grpSpLocks/>
          </xdr:cNvGrpSpPr>
        </xdr:nvGrpSpPr>
        <xdr:grpSpPr>
          <a:xfrm flipH="1">
            <a:off x="456" y="184"/>
            <a:ext cx="17" cy="11"/>
            <a:chOff x="2899" y="2272"/>
            <a:chExt cx="285" cy="171"/>
          </a:xfrm>
          <a:solidFill>
            <a:srgbClr val="FFFFFF"/>
          </a:solidFill>
        </xdr:grpSpPr>
        <xdr:sp>
          <xdr:nvSpPr>
            <xdr:cNvPr id="3" name="AutoShape 3"/>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 name="Group 5"/>
          <xdr:cNvGrpSpPr>
            <a:grpSpLocks/>
          </xdr:cNvGrpSpPr>
        </xdr:nvGrpSpPr>
        <xdr:grpSpPr>
          <a:xfrm>
            <a:off x="395" y="184"/>
            <a:ext cx="17" cy="11"/>
            <a:chOff x="2899" y="2272"/>
            <a:chExt cx="285" cy="171"/>
          </a:xfrm>
          <a:solidFill>
            <a:srgbClr val="FFFFFF"/>
          </a:solidFill>
        </xdr:grpSpPr>
        <xdr:sp>
          <xdr:nvSpPr>
            <xdr:cNvPr id="6" name="AutoShape 6"/>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8" name="AutoShape 8"/>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0"/>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5"/>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29"/>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39"/>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0"/>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Oval 41"/>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AutoShape 42"/>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3"/>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19050</xdr:colOff>
      <xdr:row>6</xdr:row>
      <xdr:rowOff>104775</xdr:rowOff>
    </xdr:from>
    <xdr:to>
      <xdr:col>5</xdr:col>
      <xdr:colOff>428625</xdr:colOff>
      <xdr:row>22</xdr:row>
      <xdr:rowOff>38100</xdr:rowOff>
    </xdr:to>
    <xdr:grpSp>
      <xdr:nvGrpSpPr>
        <xdr:cNvPr id="44" name="Group 57"/>
        <xdr:cNvGrpSpPr>
          <a:grpSpLocks/>
        </xdr:cNvGrpSpPr>
      </xdr:nvGrpSpPr>
      <xdr:grpSpPr>
        <a:xfrm>
          <a:off x="2438400" y="1019175"/>
          <a:ext cx="1304925" cy="2371725"/>
          <a:chOff x="367" y="142"/>
          <a:chExt cx="137" cy="264"/>
        </a:xfrm>
        <a:solidFill>
          <a:srgbClr val="FFFFFF"/>
        </a:solidFill>
      </xdr:grpSpPr>
      <xdr:grpSp>
        <xdr:nvGrpSpPr>
          <xdr:cNvPr id="45" name="Group 58"/>
          <xdr:cNvGrpSpPr>
            <a:grpSpLocks/>
          </xdr:cNvGrpSpPr>
        </xdr:nvGrpSpPr>
        <xdr:grpSpPr>
          <a:xfrm flipH="1">
            <a:off x="456" y="184"/>
            <a:ext cx="17" cy="11"/>
            <a:chOff x="2899" y="2272"/>
            <a:chExt cx="285" cy="171"/>
          </a:xfrm>
          <a:solidFill>
            <a:srgbClr val="FFFFFF"/>
          </a:solidFill>
        </xdr:grpSpPr>
        <xdr:sp>
          <xdr:nvSpPr>
            <xdr:cNvPr id="46" name="AutoShape 59"/>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60"/>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48" name="Group 61"/>
          <xdr:cNvGrpSpPr>
            <a:grpSpLocks/>
          </xdr:cNvGrpSpPr>
        </xdr:nvGrpSpPr>
        <xdr:grpSpPr>
          <a:xfrm>
            <a:off x="395" y="184"/>
            <a:ext cx="17" cy="11"/>
            <a:chOff x="2899" y="2272"/>
            <a:chExt cx="285" cy="171"/>
          </a:xfrm>
          <a:solidFill>
            <a:srgbClr val="FFFFFF"/>
          </a:solidFill>
        </xdr:grpSpPr>
        <xdr:sp>
          <xdr:nvSpPr>
            <xdr:cNvPr id="49" name="AutoShape 62"/>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63"/>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51" name="AutoShape 64"/>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65"/>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AutoShape 66"/>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67"/>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68"/>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69"/>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7" name="AutoShape 70"/>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71"/>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72"/>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73"/>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74"/>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75"/>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3" name="AutoShape 76"/>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4" name="AutoShape 77"/>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78"/>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AutoShape 79"/>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7" name="AutoShape 80"/>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8" name="AutoShape 81"/>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AutoShape 82"/>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AutoShape 83"/>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1" name="AutoShape 84"/>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AutoShape 85"/>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AutoShape 86"/>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4" name="AutoShape 87"/>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5" name="AutoShape 88"/>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AutoShape 89"/>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7" name="AutoShape 90"/>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AutoShape 91"/>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AutoShape 92"/>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0" name="AutoShape 93"/>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1" name="AutoShape 94"/>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2" name="AutoShape 95"/>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3" name="AutoShape 96"/>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4" name="Oval 97"/>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AutoShape 98"/>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6" name="AutoShape 99"/>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19050</xdr:colOff>
      <xdr:row>6</xdr:row>
      <xdr:rowOff>104775</xdr:rowOff>
    </xdr:from>
    <xdr:to>
      <xdr:col>5</xdr:col>
      <xdr:colOff>428625</xdr:colOff>
      <xdr:row>22</xdr:row>
      <xdr:rowOff>38100</xdr:rowOff>
    </xdr:to>
    <xdr:grpSp>
      <xdr:nvGrpSpPr>
        <xdr:cNvPr id="87" name="Group 100"/>
        <xdr:cNvGrpSpPr>
          <a:grpSpLocks/>
        </xdr:cNvGrpSpPr>
      </xdr:nvGrpSpPr>
      <xdr:grpSpPr>
        <a:xfrm>
          <a:off x="2438400" y="1019175"/>
          <a:ext cx="1304925" cy="2371725"/>
          <a:chOff x="367" y="142"/>
          <a:chExt cx="137" cy="264"/>
        </a:xfrm>
        <a:solidFill>
          <a:srgbClr val="FFFFFF"/>
        </a:solidFill>
      </xdr:grpSpPr>
      <xdr:grpSp>
        <xdr:nvGrpSpPr>
          <xdr:cNvPr id="88" name="Group 101"/>
          <xdr:cNvGrpSpPr>
            <a:grpSpLocks/>
          </xdr:cNvGrpSpPr>
        </xdr:nvGrpSpPr>
        <xdr:grpSpPr>
          <a:xfrm flipH="1">
            <a:off x="456" y="184"/>
            <a:ext cx="17" cy="11"/>
            <a:chOff x="2899" y="2272"/>
            <a:chExt cx="285" cy="171"/>
          </a:xfrm>
          <a:solidFill>
            <a:srgbClr val="FFFFFF"/>
          </a:solidFill>
        </xdr:grpSpPr>
        <xdr:sp>
          <xdr:nvSpPr>
            <xdr:cNvPr id="89" name="AutoShape 102"/>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0" name="AutoShape 103"/>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1" name="Group 104"/>
          <xdr:cNvGrpSpPr>
            <a:grpSpLocks/>
          </xdr:cNvGrpSpPr>
        </xdr:nvGrpSpPr>
        <xdr:grpSpPr>
          <a:xfrm>
            <a:off x="395" y="184"/>
            <a:ext cx="17" cy="11"/>
            <a:chOff x="2899" y="2272"/>
            <a:chExt cx="285" cy="171"/>
          </a:xfrm>
          <a:solidFill>
            <a:srgbClr val="FFFFFF"/>
          </a:solidFill>
        </xdr:grpSpPr>
        <xdr:sp>
          <xdr:nvSpPr>
            <xdr:cNvPr id="92" name="AutoShape 105"/>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3" name="AutoShape 106"/>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94" name="AutoShape 107"/>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5" name="AutoShape 108"/>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6" name="AutoShape 109"/>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7" name="AutoShape 110"/>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8" name="AutoShape 111"/>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9" name="AutoShape 112"/>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0" name="AutoShape 113"/>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1" name="AutoShape 114"/>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2" name="AutoShape 115"/>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3" name="AutoShape 116"/>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4" name="AutoShape 117"/>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5" name="AutoShape 118"/>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6" name="AutoShape 119"/>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7" name="AutoShape 120"/>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8" name="AutoShape 121"/>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9" name="AutoShape 122"/>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0" name="AutoShape 123"/>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1" name="AutoShape 124"/>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2" name="AutoShape 125"/>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3" name="AutoShape 126"/>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4" name="AutoShape 127"/>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5" name="AutoShape 128"/>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6" name="AutoShape 129"/>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7" name="AutoShape 130"/>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8" name="AutoShape 131"/>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9" name="AutoShape 132"/>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0" name="AutoShape 133"/>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1" name="AutoShape 134"/>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2" name="AutoShape 135"/>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3" name="AutoShape 136"/>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4" name="AutoShape 137"/>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5" name="AutoShape 138"/>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6" name="AutoShape 139"/>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7" name="Oval 140"/>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AutoShape 141"/>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9" name="AutoShape 142"/>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19050</xdr:colOff>
      <xdr:row>6</xdr:row>
      <xdr:rowOff>104775</xdr:rowOff>
    </xdr:from>
    <xdr:to>
      <xdr:col>5</xdr:col>
      <xdr:colOff>428625</xdr:colOff>
      <xdr:row>22</xdr:row>
      <xdr:rowOff>38100</xdr:rowOff>
    </xdr:to>
    <xdr:grpSp>
      <xdr:nvGrpSpPr>
        <xdr:cNvPr id="130" name="Group 143"/>
        <xdr:cNvGrpSpPr>
          <a:grpSpLocks/>
        </xdr:cNvGrpSpPr>
      </xdr:nvGrpSpPr>
      <xdr:grpSpPr>
        <a:xfrm>
          <a:off x="2438400" y="1019175"/>
          <a:ext cx="1304925" cy="2371725"/>
          <a:chOff x="367" y="142"/>
          <a:chExt cx="137" cy="264"/>
        </a:xfrm>
        <a:solidFill>
          <a:srgbClr val="FFFFFF"/>
        </a:solidFill>
      </xdr:grpSpPr>
      <xdr:grpSp>
        <xdr:nvGrpSpPr>
          <xdr:cNvPr id="131" name="Group 144"/>
          <xdr:cNvGrpSpPr>
            <a:grpSpLocks/>
          </xdr:cNvGrpSpPr>
        </xdr:nvGrpSpPr>
        <xdr:grpSpPr>
          <a:xfrm flipH="1">
            <a:off x="456" y="184"/>
            <a:ext cx="17" cy="11"/>
            <a:chOff x="2899" y="2272"/>
            <a:chExt cx="285" cy="171"/>
          </a:xfrm>
          <a:solidFill>
            <a:srgbClr val="FFFFFF"/>
          </a:solidFill>
        </xdr:grpSpPr>
        <xdr:sp>
          <xdr:nvSpPr>
            <xdr:cNvPr id="132" name="AutoShape 145"/>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3" name="AutoShape 146"/>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34" name="Group 147"/>
          <xdr:cNvGrpSpPr>
            <a:grpSpLocks/>
          </xdr:cNvGrpSpPr>
        </xdr:nvGrpSpPr>
        <xdr:grpSpPr>
          <a:xfrm>
            <a:off x="395" y="184"/>
            <a:ext cx="17" cy="11"/>
            <a:chOff x="2899" y="2272"/>
            <a:chExt cx="285" cy="171"/>
          </a:xfrm>
          <a:solidFill>
            <a:srgbClr val="FFFFFF"/>
          </a:solidFill>
        </xdr:grpSpPr>
        <xdr:sp>
          <xdr:nvSpPr>
            <xdr:cNvPr id="135" name="AutoShape 148"/>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6" name="AutoShape 149"/>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37" name="AutoShape 150"/>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8" name="AutoShape 151"/>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9" name="AutoShape 152"/>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0" name="AutoShape 153"/>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1" name="AutoShape 154"/>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2" name="AutoShape 155"/>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3" name="AutoShape 156"/>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4" name="AutoShape 157"/>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5" name="AutoShape 158"/>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6" name="AutoShape 159"/>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7" name="AutoShape 160"/>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8" name="AutoShape 161"/>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9" name="AutoShape 162"/>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0" name="AutoShape 163"/>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1" name="AutoShape 164"/>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2" name="AutoShape 165"/>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3" name="AutoShape 166"/>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4" name="AutoShape 167"/>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5" name="AutoShape 168"/>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6" name="AutoShape 169"/>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7" name="AutoShape 170"/>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8" name="AutoShape 171"/>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9" name="AutoShape 172"/>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0" name="AutoShape 173"/>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1" name="AutoShape 174"/>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2" name="AutoShape 175"/>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3" name="AutoShape 176"/>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4" name="AutoShape 177"/>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5" name="AutoShape 178"/>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6" name="AutoShape 179"/>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7" name="AutoShape 180"/>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8" name="AutoShape 181"/>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9" name="AutoShape 182"/>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0" name="Oval 183"/>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AutoShape 184"/>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2" name="AutoShape 185"/>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19050</xdr:colOff>
      <xdr:row>6</xdr:row>
      <xdr:rowOff>104775</xdr:rowOff>
    </xdr:from>
    <xdr:to>
      <xdr:col>5</xdr:col>
      <xdr:colOff>428625</xdr:colOff>
      <xdr:row>22</xdr:row>
      <xdr:rowOff>38100</xdr:rowOff>
    </xdr:to>
    <xdr:grpSp>
      <xdr:nvGrpSpPr>
        <xdr:cNvPr id="173" name="Group 186"/>
        <xdr:cNvGrpSpPr>
          <a:grpSpLocks/>
        </xdr:cNvGrpSpPr>
      </xdr:nvGrpSpPr>
      <xdr:grpSpPr>
        <a:xfrm>
          <a:off x="2438400" y="1019175"/>
          <a:ext cx="1304925" cy="2371725"/>
          <a:chOff x="367" y="142"/>
          <a:chExt cx="137" cy="264"/>
        </a:xfrm>
        <a:solidFill>
          <a:srgbClr val="FFFFFF"/>
        </a:solidFill>
      </xdr:grpSpPr>
      <xdr:grpSp>
        <xdr:nvGrpSpPr>
          <xdr:cNvPr id="174" name="Group 187"/>
          <xdr:cNvGrpSpPr>
            <a:grpSpLocks/>
          </xdr:cNvGrpSpPr>
        </xdr:nvGrpSpPr>
        <xdr:grpSpPr>
          <a:xfrm flipH="1">
            <a:off x="456" y="184"/>
            <a:ext cx="17" cy="11"/>
            <a:chOff x="2899" y="2272"/>
            <a:chExt cx="285" cy="171"/>
          </a:xfrm>
          <a:solidFill>
            <a:srgbClr val="FFFFFF"/>
          </a:solidFill>
        </xdr:grpSpPr>
        <xdr:sp>
          <xdr:nvSpPr>
            <xdr:cNvPr id="175" name="AutoShape 188"/>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6" name="AutoShape 189"/>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77" name="Group 190"/>
          <xdr:cNvGrpSpPr>
            <a:grpSpLocks/>
          </xdr:cNvGrpSpPr>
        </xdr:nvGrpSpPr>
        <xdr:grpSpPr>
          <a:xfrm>
            <a:off x="395" y="184"/>
            <a:ext cx="17" cy="11"/>
            <a:chOff x="2899" y="2272"/>
            <a:chExt cx="285" cy="171"/>
          </a:xfrm>
          <a:solidFill>
            <a:srgbClr val="FFFFFF"/>
          </a:solidFill>
        </xdr:grpSpPr>
        <xdr:sp>
          <xdr:nvSpPr>
            <xdr:cNvPr id="178" name="AutoShape 191"/>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9" name="AutoShape 192"/>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80" name="AutoShape 193"/>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1" name="AutoShape 194"/>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2" name="AutoShape 195"/>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3" name="AutoShape 196"/>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4" name="AutoShape 197"/>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5" name="AutoShape 198"/>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6" name="AutoShape 199"/>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7" name="AutoShape 200"/>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8" name="AutoShape 201"/>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9" name="AutoShape 202"/>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0" name="AutoShape 203"/>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1" name="AutoShape 204"/>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2" name="AutoShape 205"/>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3" name="AutoShape 206"/>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4" name="AutoShape 207"/>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5" name="AutoShape 208"/>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6" name="AutoShape 209"/>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7" name="AutoShape 210"/>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8" name="AutoShape 211"/>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9" name="AutoShape 212"/>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0" name="AutoShape 213"/>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1" name="AutoShape 214"/>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2" name="AutoShape 215"/>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3" name="AutoShape 216"/>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4" name="AutoShape 217"/>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5" name="AutoShape 218"/>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6" name="AutoShape 219"/>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7" name="AutoShape 220"/>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8" name="AutoShape 221"/>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9" name="AutoShape 222"/>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0" name="AutoShape 223"/>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1" name="AutoShape 224"/>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2" name="AutoShape 225"/>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3" name="Oval 226"/>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AutoShape 227"/>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5" name="AutoShape 228"/>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266700</xdr:colOff>
      <xdr:row>5</xdr:row>
      <xdr:rowOff>0</xdr:rowOff>
    </xdr:from>
    <xdr:to>
      <xdr:col>22</xdr:col>
      <xdr:colOff>190500</xdr:colOff>
      <xdr:row>14</xdr:row>
      <xdr:rowOff>66675</xdr:rowOff>
    </xdr:to>
    <xdr:graphicFrame>
      <xdr:nvGraphicFramePr>
        <xdr:cNvPr id="216" name="Chart 232"/>
        <xdr:cNvGraphicFramePr/>
      </xdr:nvGraphicFramePr>
      <xdr:xfrm>
        <a:off x="9324975" y="762000"/>
        <a:ext cx="3352800" cy="1438275"/>
      </xdr:xfrm>
      <a:graphic>
        <a:graphicData uri="http://schemas.openxmlformats.org/drawingml/2006/chart">
          <c:chart xmlns:c="http://schemas.openxmlformats.org/drawingml/2006/chart" r:id="rId1"/>
        </a:graphicData>
      </a:graphic>
    </xdr:graphicFrame>
    <xdr:clientData/>
  </xdr:twoCellAnchor>
  <xdr:twoCellAnchor>
    <xdr:from>
      <xdr:col>13</xdr:col>
      <xdr:colOff>266700</xdr:colOff>
      <xdr:row>14</xdr:row>
      <xdr:rowOff>66675</xdr:rowOff>
    </xdr:from>
    <xdr:to>
      <xdr:col>22</xdr:col>
      <xdr:colOff>190500</xdr:colOff>
      <xdr:row>25</xdr:row>
      <xdr:rowOff>95250</xdr:rowOff>
    </xdr:to>
    <xdr:graphicFrame>
      <xdr:nvGraphicFramePr>
        <xdr:cNvPr id="217" name="Chart 233"/>
        <xdr:cNvGraphicFramePr/>
      </xdr:nvGraphicFramePr>
      <xdr:xfrm>
        <a:off x="9324975" y="2200275"/>
        <a:ext cx="3352800" cy="1704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xdr:row>
      <xdr:rowOff>104775</xdr:rowOff>
    </xdr:from>
    <xdr:to>
      <xdr:col>5</xdr:col>
      <xdr:colOff>428625</xdr:colOff>
      <xdr:row>22</xdr:row>
      <xdr:rowOff>38100</xdr:rowOff>
    </xdr:to>
    <xdr:grpSp>
      <xdr:nvGrpSpPr>
        <xdr:cNvPr id="1" name="Group 43"/>
        <xdr:cNvGrpSpPr>
          <a:grpSpLocks/>
        </xdr:cNvGrpSpPr>
      </xdr:nvGrpSpPr>
      <xdr:grpSpPr>
        <a:xfrm>
          <a:off x="2438400" y="1019175"/>
          <a:ext cx="1304925" cy="2371725"/>
          <a:chOff x="367" y="142"/>
          <a:chExt cx="137" cy="264"/>
        </a:xfrm>
        <a:solidFill>
          <a:srgbClr val="FFFFFF"/>
        </a:solidFill>
      </xdr:grpSpPr>
      <xdr:grpSp>
        <xdr:nvGrpSpPr>
          <xdr:cNvPr id="2" name="Group 44"/>
          <xdr:cNvGrpSpPr>
            <a:grpSpLocks/>
          </xdr:cNvGrpSpPr>
        </xdr:nvGrpSpPr>
        <xdr:grpSpPr>
          <a:xfrm flipH="1">
            <a:off x="456" y="184"/>
            <a:ext cx="17" cy="11"/>
            <a:chOff x="2899" y="2272"/>
            <a:chExt cx="285" cy="171"/>
          </a:xfrm>
          <a:solidFill>
            <a:srgbClr val="FFFFFF"/>
          </a:solidFill>
        </xdr:grpSpPr>
        <xdr:sp>
          <xdr:nvSpPr>
            <xdr:cNvPr id="3" name="AutoShape 45"/>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6"/>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 name="Group 47"/>
          <xdr:cNvGrpSpPr>
            <a:grpSpLocks/>
          </xdr:cNvGrpSpPr>
        </xdr:nvGrpSpPr>
        <xdr:grpSpPr>
          <a:xfrm>
            <a:off x="395" y="184"/>
            <a:ext cx="17" cy="11"/>
            <a:chOff x="2899" y="2272"/>
            <a:chExt cx="285" cy="171"/>
          </a:xfrm>
          <a:solidFill>
            <a:srgbClr val="FFFFFF"/>
          </a:solidFill>
        </xdr:grpSpPr>
        <xdr:sp>
          <xdr:nvSpPr>
            <xdr:cNvPr id="6" name="AutoShape 48"/>
            <xdr:cNvSpPr>
              <a:spLocks/>
            </xdr:cNvSpPr>
          </xdr:nvSpPr>
          <xdr:spPr>
            <a:xfrm>
              <a:off x="2899" y="2398"/>
              <a:ext cx="273" cy="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49"/>
            <xdr:cNvSpPr>
              <a:spLocks/>
            </xdr:cNvSpPr>
          </xdr:nvSpPr>
          <xdr:spPr>
            <a:xfrm flipV="1">
              <a:off x="2899" y="2272"/>
              <a:ext cx="285" cy="5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8" name="AutoShape 50"/>
          <xdr:cNvSpPr>
            <a:spLocks/>
          </xdr:cNvSpPr>
        </xdr:nvSpPr>
        <xdr:spPr>
          <a:xfrm>
            <a:off x="384" y="169"/>
            <a:ext cx="15"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51"/>
          <xdr:cNvSpPr>
            <a:spLocks/>
          </xdr:cNvSpPr>
        </xdr:nvSpPr>
        <xdr:spPr>
          <a:xfrm>
            <a:off x="384" y="176"/>
            <a:ext cx="15"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52"/>
          <xdr:cNvSpPr>
            <a:spLocks/>
          </xdr:cNvSpPr>
        </xdr:nvSpPr>
        <xdr:spPr>
          <a:xfrm>
            <a:off x="381" y="327"/>
            <a:ext cx="106" cy="56"/>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53"/>
          <xdr:cNvSpPr>
            <a:spLocks/>
          </xdr:cNvSpPr>
        </xdr:nvSpPr>
        <xdr:spPr>
          <a:xfrm flipV="1">
            <a:off x="381" y="301"/>
            <a:ext cx="106" cy="34"/>
          </a:xfrm>
          <a:prstGeom prst="trapezoid">
            <a:avLst>
              <a:gd name="adj" fmla="val -36476"/>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54"/>
          <xdr:cNvSpPr>
            <a:spLocks/>
          </xdr:cNvSpPr>
        </xdr:nvSpPr>
        <xdr:spPr>
          <a:xfrm flipV="1">
            <a:off x="395" y="244"/>
            <a:ext cx="78" cy="57"/>
          </a:xfrm>
          <a:prstGeom prst="trapezoid">
            <a:avLst>
              <a:gd name="adj" fmla="val -45722"/>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55"/>
          <xdr:cNvSpPr>
            <a:spLocks/>
          </xdr:cNvSpPr>
        </xdr:nvSpPr>
        <xdr:spPr>
          <a:xfrm>
            <a:off x="374" y="191"/>
            <a:ext cx="0" cy="16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56"/>
          <xdr:cNvSpPr>
            <a:spLocks/>
          </xdr:cNvSpPr>
        </xdr:nvSpPr>
        <xdr:spPr>
          <a:xfrm flipV="1">
            <a:off x="367" y="357"/>
            <a:ext cx="137"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57"/>
          <xdr:cNvSpPr>
            <a:spLocks/>
          </xdr:cNvSpPr>
        </xdr:nvSpPr>
        <xdr:spPr>
          <a:xfrm>
            <a:off x="381"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58"/>
          <xdr:cNvSpPr>
            <a:spLocks/>
          </xdr:cNvSpPr>
        </xdr:nvSpPr>
        <xdr:spPr>
          <a:xfrm>
            <a:off x="473" y="335"/>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59"/>
          <xdr:cNvSpPr>
            <a:spLocks/>
          </xdr:cNvSpPr>
        </xdr:nvSpPr>
        <xdr:spPr>
          <a:xfrm>
            <a:off x="384" y="169"/>
            <a:ext cx="15"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60"/>
          <xdr:cNvSpPr>
            <a:spLocks/>
          </xdr:cNvSpPr>
        </xdr:nvSpPr>
        <xdr:spPr>
          <a:xfrm>
            <a:off x="470" y="169"/>
            <a:ext cx="14" cy="44"/>
          </a:xfrm>
          <a:prstGeom prst="round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61"/>
          <xdr:cNvSpPr>
            <a:spLocks/>
          </xdr:cNvSpPr>
        </xdr:nvSpPr>
        <xdr:spPr>
          <a:xfrm>
            <a:off x="470" y="176"/>
            <a:ext cx="14" cy="41"/>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62"/>
          <xdr:cNvSpPr>
            <a:spLocks/>
          </xdr:cNvSpPr>
        </xdr:nvSpPr>
        <xdr:spPr>
          <a:xfrm>
            <a:off x="470" y="169"/>
            <a:ext cx="14" cy="44"/>
          </a:xfrm>
          <a:prstGeom prst="roundRect">
            <a:avLst/>
          </a:prstGeom>
          <a:solidFill>
            <a:srgbClr val="333333">
              <a:alpha val="50000"/>
            </a:srgbClr>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63"/>
          <xdr:cNvSpPr>
            <a:spLocks/>
          </xdr:cNvSpPr>
        </xdr:nvSpPr>
        <xdr:spPr>
          <a:xfrm>
            <a:off x="418" y="161"/>
            <a:ext cx="32" cy="30"/>
          </a:xfrm>
          <a:prstGeom prst="roundRect">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64"/>
          <xdr:cNvSpPr>
            <a:spLocks/>
          </xdr:cNvSpPr>
        </xdr:nvSpPr>
        <xdr:spPr>
          <a:xfrm flipV="1">
            <a:off x="399" y="165"/>
            <a:ext cx="71" cy="79"/>
          </a:xfrm>
          <a:prstGeom prst="trapezoid">
            <a:avLst>
              <a:gd name="adj" fmla="val -2377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65"/>
          <xdr:cNvSpPr>
            <a:spLocks/>
          </xdr:cNvSpPr>
        </xdr:nvSpPr>
        <xdr:spPr>
          <a:xfrm>
            <a:off x="408"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66"/>
          <xdr:cNvSpPr>
            <a:spLocks/>
          </xdr:cNvSpPr>
        </xdr:nvSpPr>
        <xdr:spPr>
          <a:xfrm>
            <a:off x="446" y="184"/>
            <a:ext cx="14" cy="15"/>
          </a:xfrm>
          <a:prstGeom prst="trapezoid">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67"/>
          <xdr:cNvSpPr>
            <a:spLocks/>
          </xdr:cNvSpPr>
        </xdr:nvSpPr>
        <xdr:spPr>
          <a:xfrm>
            <a:off x="408"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68"/>
          <xdr:cNvSpPr>
            <a:spLocks/>
          </xdr:cNvSpPr>
        </xdr:nvSpPr>
        <xdr:spPr>
          <a:xfrm>
            <a:off x="450" y="180"/>
            <a:ext cx="10" cy="4"/>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69"/>
          <xdr:cNvSpPr>
            <a:spLocks/>
          </xdr:cNvSpPr>
        </xdr:nvSpPr>
        <xdr:spPr>
          <a:xfrm>
            <a:off x="401" y="255"/>
            <a:ext cx="66" cy="65"/>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70"/>
          <xdr:cNvSpPr>
            <a:spLocks/>
          </xdr:cNvSpPr>
        </xdr:nvSpPr>
        <xdr:spPr>
          <a:xfrm>
            <a:off x="401" y="244"/>
            <a:ext cx="66" cy="30"/>
          </a:xfrm>
          <a:prstGeom prst="trapezoid">
            <a:avLst>
              <a:gd name="adj" fmla="val -43657"/>
            </a:avLst>
          </a:pr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71"/>
          <xdr:cNvSpPr>
            <a:spLocks/>
          </xdr:cNvSpPr>
        </xdr:nvSpPr>
        <xdr:spPr>
          <a:xfrm>
            <a:off x="405" y="240"/>
            <a:ext cx="58" cy="30"/>
          </a:xfrm>
          <a:prstGeom prst="trapezoid">
            <a:avLst>
              <a:gd name="adj" fmla="val -43657"/>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72"/>
          <xdr:cNvSpPr>
            <a:spLocks/>
          </xdr:cNvSpPr>
        </xdr:nvSpPr>
        <xdr:spPr>
          <a:xfrm>
            <a:off x="405" y="232"/>
            <a:ext cx="58" cy="15"/>
          </a:xfrm>
          <a:prstGeom prst="ellipse">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73"/>
          <xdr:cNvSpPr>
            <a:spLocks/>
          </xdr:cNvSpPr>
        </xdr:nvSpPr>
        <xdr:spPr>
          <a:xfrm>
            <a:off x="399" y="323"/>
            <a:ext cx="71" cy="4"/>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74"/>
          <xdr:cNvSpPr>
            <a:spLocks/>
          </xdr:cNvSpPr>
        </xdr:nvSpPr>
        <xdr:spPr>
          <a:xfrm>
            <a:off x="399" y="323"/>
            <a:ext cx="2"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75"/>
          <xdr:cNvSpPr>
            <a:spLocks/>
          </xdr:cNvSpPr>
        </xdr:nvSpPr>
        <xdr:spPr>
          <a:xfrm>
            <a:off x="467" y="323"/>
            <a:ext cx="3" cy="12"/>
          </a:xfrm>
          <a:prstGeom prst="round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76"/>
          <xdr:cNvSpPr>
            <a:spLocks/>
          </xdr:cNvSpPr>
        </xdr:nvSpPr>
        <xdr:spPr>
          <a:xfrm flipV="1">
            <a:off x="367" y="191"/>
            <a:ext cx="137" cy="1"/>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77"/>
          <xdr:cNvSpPr>
            <a:spLocks/>
          </xdr:cNvSpPr>
        </xdr:nvSpPr>
        <xdr:spPr>
          <a:xfrm flipV="1">
            <a:off x="388"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78"/>
          <xdr:cNvSpPr>
            <a:spLocks/>
          </xdr:cNvSpPr>
        </xdr:nvSpPr>
        <xdr:spPr>
          <a:xfrm flipV="1">
            <a:off x="481" y="357"/>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79"/>
          <xdr:cNvSpPr>
            <a:spLocks/>
          </xdr:cNvSpPr>
        </xdr:nvSpPr>
        <xdr:spPr>
          <a:xfrm flipH="1">
            <a:off x="388" y="406"/>
            <a:ext cx="93"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80"/>
          <xdr:cNvSpPr>
            <a:spLocks/>
          </xdr:cNvSpPr>
        </xdr:nvSpPr>
        <xdr:spPr>
          <a:xfrm flipV="1">
            <a:off x="391"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81"/>
          <xdr:cNvSpPr>
            <a:spLocks/>
          </xdr:cNvSpPr>
        </xdr:nvSpPr>
        <xdr:spPr>
          <a:xfrm flipV="1">
            <a:off x="477" y="142"/>
            <a:ext cx="0" cy="49"/>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82"/>
          <xdr:cNvSpPr>
            <a:spLocks/>
          </xdr:cNvSpPr>
        </xdr:nvSpPr>
        <xdr:spPr>
          <a:xfrm flipH="1">
            <a:off x="391" y="142"/>
            <a:ext cx="86"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Oval 83"/>
          <xdr:cNvSpPr>
            <a:spLocks/>
          </xdr:cNvSpPr>
        </xdr:nvSpPr>
        <xdr:spPr>
          <a:xfrm>
            <a:off x="430" y="287"/>
            <a:ext cx="11" cy="11"/>
          </a:xfrm>
          <a:prstGeom prst="ellipse">
            <a:avLst/>
          </a:prstGeom>
          <a:pattFill prst="lgCheck">
            <a:fgClr>
              <a:srgbClr val="FF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AutoShape 84"/>
          <xdr:cNvSpPr>
            <a:spLocks/>
          </xdr:cNvSpPr>
        </xdr:nvSpPr>
        <xdr:spPr>
          <a:xfrm flipV="1">
            <a:off x="426" y="292"/>
            <a:ext cx="76"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85"/>
          <xdr:cNvSpPr>
            <a:spLocks/>
          </xdr:cNvSpPr>
        </xdr:nvSpPr>
        <xdr:spPr>
          <a:xfrm>
            <a:off x="493" y="193"/>
            <a:ext cx="0" cy="98"/>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266700</xdr:colOff>
      <xdr:row>5</xdr:row>
      <xdr:rowOff>0</xdr:rowOff>
    </xdr:from>
    <xdr:to>
      <xdr:col>22</xdr:col>
      <xdr:colOff>190500</xdr:colOff>
      <xdr:row>14</xdr:row>
      <xdr:rowOff>66675</xdr:rowOff>
    </xdr:to>
    <xdr:graphicFrame>
      <xdr:nvGraphicFramePr>
        <xdr:cNvPr id="44" name="Chart 110"/>
        <xdr:cNvGraphicFramePr/>
      </xdr:nvGraphicFramePr>
      <xdr:xfrm>
        <a:off x="9324975" y="762000"/>
        <a:ext cx="3352800" cy="1438275"/>
      </xdr:xfrm>
      <a:graphic>
        <a:graphicData uri="http://schemas.openxmlformats.org/drawingml/2006/chart">
          <c:chart xmlns:c="http://schemas.openxmlformats.org/drawingml/2006/chart" r:id="rId1"/>
        </a:graphicData>
      </a:graphic>
    </xdr:graphicFrame>
    <xdr:clientData/>
  </xdr:twoCellAnchor>
  <xdr:twoCellAnchor>
    <xdr:from>
      <xdr:col>13</xdr:col>
      <xdr:colOff>266700</xdr:colOff>
      <xdr:row>14</xdr:row>
      <xdr:rowOff>66675</xdr:rowOff>
    </xdr:from>
    <xdr:to>
      <xdr:col>22</xdr:col>
      <xdr:colOff>190500</xdr:colOff>
      <xdr:row>25</xdr:row>
      <xdr:rowOff>95250</xdr:rowOff>
    </xdr:to>
    <xdr:graphicFrame>
      <xdr:nvGraphicFramePr>
        <xdr:cNvPr id="45" name="Chart 112"/>
        <xdr:cNvGraphicFramePr/>
      </xdr:nvGraphicFramePr>
      <xdr:xfrm>
        <a:off x="9324975" y="2200275"/>
        <a:ext cx="3352800" cy="1704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AD45"/>
  <sheetViews>
    <sheetView showGridLines="0" zoomScale="70" zoomScaleNormal="70" workbookViewId="0" topLeftCell="A1">
      <selection activeCell="A1" sqref="A1"/>
    </sheetView>
  </sheetViews>
  <sheetFormatPr defaultColWidth="9.140625" defaultRowHeight="12.75"/>
  <cols>
    <col min="1" max="1" width="24.7109375" style="2" bestFit="1" customWidth="1"/>
    <col min="2" max="2" width="6.7109375" style="2" customWidth="1"/>
    <col min="3" max="3" width="4.8515625" style="3" bestFit="1" customWidth="1"/>
    <col min="4" max="4" width="6.7109375" style="2" customWidth="1"/>
    <col min="5" max="6" width="6.7109375" style="1" customWidth="1"/>
    <col min="7" max="7" width="6.7109375" style="2" customWidth="1"/>
    <col min="8" max="8" width="4.140625" style="3" bestFit="1" customWidth="1"/>
    <col min="9" max="9" width="25.28125" style="5" bestFit="1" customWidth="1"/>
    <col min="10" max="10" width="21.28125" style="2" bestFit="1" customWidth="1"/>
    <col min="11" max="11" width="7.7109375" style="76" customWidth="1"/>
    <col min="12" max="12" width="8.57421875" style="3" bestFit="1" customWidth="1"/>
    <col min="13" max="26" width="5.7109375" style="1" customWidth="1"/>
    <col min="27" max="27" width="26.140625" style="87" customWidth="1"/>
    <col min="28" max="28" width="7.7109375" style="85" customWidth="1"/>
    <col min="29" max="29" width="7.421875" style="110" bestFit="1" customWidth="1"/>
    <col min="30" max="16384" width="9.140625" style="1" customWidth="1"/>
  </cols>
  <sheetData>
    <row r="1" spans="1:12" ht="12" customHeight="1">
      <c r="A1" s="49" t="s">
        <v>37</v>
      </c>
      <c r="J1" s="1"/>
      <c r="K1" s="1"/>
      <c r="L1" s="1"/>
    </row>
    <row r="2" spans="1:29" s="4" customFormat="1" ht="12" customHeight="1">
      <c r="A2" s="97" t="s">
        <v>99</v>
      </c>
      <c r="B2" s="2"/>
      <c r="C2" s="3"/>
      <c r="D2" s="13"/>
      <c r="E2" s="43"/>
      <c r="F2" s="42"/>
      <c r="G2" s="2"/>
      <c r="H2" s="93" t="s">
        <v>17</v>
      </c>
      <c r="I2" s="93"/>
      <c r="AA2" s="91" t="s">
        <v>55</v>
      </c>
      <c r="AB2" s="94"/>
      <c r="AC2" s="95"/>
    </row>
    <row r="3" spans="2:29" s="4" customFormat="1" ht="12" customHeight="1">
      <c r="B3" s="46"/>
      <c r="C3" s="15"/>
      <c r="D3" s="46" t="s">
        <v>8</v>
      </c>
      <c r="E3" s="47">
        <f>B9+G9</f>
        <v>210</v>
      </c>
      <c r="F3" s="15" t="s">
        <v>3</v>
      </c>
      <c r="G3" s="13"/>
      <c r="H3" s="99" t="s">
        <v>18</v>
      </c>
      <c r="I3" s="99"/>
      <c r="N3" s="117" t="s">
        <v>64</v>
      </c>
      <c r="O3" s="101"/>
      <c r="P3" s="101"/>
      <c r="Q3" s="101"/>
      <c r="R3" s="101"/>
      <c r="S3" s="101"/>
      <c r="T3" s="101"/>
      <c r="U3" s="101"/>
      <c r="V3" s="101"/>
      <c r="W3" s="101"/>
      <c r="X3" s="101"/>
      <c r="Y3" s="101"/>
      <c r="Z3" s="101"/>
      <c r="AA3" s="85" t="s">
        <v>56</v>
      </c>
      <c r="AB3" s="86">
        <f>(0.5*AB7*1000*($E$6/1000)^2)*(PI()/180)</f>
        <v>266.8548494657544</v>
      </c>
      <c r="AC3" s="96" t="s">
        <v>41</v>
      </c>
    </row>
    <row r="4" spans="1:29" s="4" customFormat="1" ht="12" customHeight="1">
      <c r="A4" s="13"/>
      <c r="B4" s="46"/>
      <c r="C4" s="15"/>
      <c r="D4" s="46" t="s">
        <v>34</v>
      </c>
      <c r="E4" s="47">
        <f>E3*9.81</f>
        <v>2060.1</v>
      </c>
      <c r="F4" s="15" t="s">
        <v>35</v>
      </c>
      <c r="G4" s="13"/>
      <c r="H4" s="98" t="s">
        <v>38</v>
      </c>
      <c r="I4" s="98"/>
      <c r="N4" s="117"/>
      <c r="O4" s="101"/>
      <c r="P4" s="101"/>
      <c r="Q4" s="101"/>
      <c r="R4" s="112" t="s">
        <v>85</v>
      </c>
      <c r="S4" s="101"/>
      <c r="T4" s="101"/>
      <c r="U4" s="101"/>
      <c r="V4" s="101"/>
      <c r="W4" s="101"/>
      <c r="X4" s="101"/>
      <c r="Y4" s="101"/>
      <c r="Z4" s="101"/>
      <c r="AA4" s="85" t="s">
        <v>57</v>
      </c>
      <c r="AB4" s="86">
        <f>1/(1/(0.5*AB10*1000*($E$6/1000)^2*(PI()/180))+1/AB3)</f>
        <v>237.73135321904803</v>
      </c>
      <c r="AC4" s="96" t="s">
        <v>41</v>
      </c>
    </row>
    <row r="5" spans="1:29" s="4" customFormat="1" ht="12" customHeight="1">
      <c r="A5" s="13"/>
      <c r="B5" s="46"/>
      <c r="C5" s="15"/>
      <c r="D5" s="46" t="s">
        <v>49</v>
      </c>
      <c r="E5" s="47">
        <f>E3/G16*100</f>
        <v>38.56749311294766</v>
      </c>
      <c r="F5" s="15" t="s">
        <v>10</v>
      </c>
      <c r="G5" s="13"/>
      <c r="H5" s="92" t="s">
        <v>19</v>
      </c>
      <c r="I5" s="92"/>
      <c r="N5" s="117"/>
      <c r="O5" s="101"/>
      <c r="P5" s="101"/>
      <c r="Q5" s="101"/>
      <c r="R5" s="101"/>
      <c r="S5" s="101"/>
      <c r="T5" s="101"/>
      <c r="U5" s="101"/>
      <c r="V5" s="101"/>
      <c r="W5" s="101"/>
      <c r="X5" s="101"/>
      <c r="Y5" s="101"/>
      <c r="Z5" s="101"/>
      <c r="AA5" s="85" t="s">
        <v>61</v>
      </c>
      <c r="AB5" s="110">
        <f>K9*0.175186662329416</f>
        <v>48.176332140589395</v>
      </c>
      <c r="AC5" s="96" t="s">
        <v>21</v>
      </c>
    </row>
    <row r="6" spans="2:29" s="12" customFormat="1" ht="12" customHeight="1">
      <c r="B6" s="17"/>
      <c r="C6" s="17"/>
      <c r="D6" s="46" t="s">
        <v>0</v>
      </c>
      <c r="E6" s="46">
        <f>'General data'!C9</f>
        <v>1290</v>
      </c>
      <c r="F6" s="15" t="s">
        <v>4</v>
      </c>
      <c r="G6" s="31"/>
      <c r="H6" s="14" t="s">
        <v>63</v>
      </c>
      <c r="I6" s="51"/>
      <c r="N6" s="117"/>
      <c r="O6" s="101"/>
      <c r="P6" s="101"/>
      <c r="Q6" s="101"/>
      <c r="R6" s="101"/>
      <c r="S6" s="101"/>
      <c r="T6" s="101"/>
      <c r="U6" s="101"/>
      <c r="V6" s="101"/>
      <c r="W6" s="101"/>
      <c r="X6" s="101"/>
      <c r="Y6" s="101"/>
      <c r="Z6" s="101"/>
      <c r="AA6" s="85" t="s">
        <v>86</v>
      </c>
      <c r="AB6" s="110">
        <f>1/((1/K10)+(1/AB10))</f>
        <v>16.370414274845583</v>
      </c>
      <c r="AC6" s="96" t="s">
        <v>21</v>
      </c>
    </row>
    <row r="7" spans="2:29" s="31" customFormat="1" ht="12" customHeight="1">
      <c r="B7" s="17"/>
      <c r="C7" s="17"/>
      <c r="D7" s="48"/>
      <c r="E7" s="17"/>
      <c r="F7" s="16"/>
      <c r="I7" s="51"/>
      <c r="N7" s="117"/>
      <c r="O7" s="101"/>
      <c r="P7" s="101"/>
      <c r="Q7" s="101"/>
      <c r="R7" s="101"/>
      <c r="S7" s="101"/>
      <c r="T7" s="101"/>
      <c r="U7" s="101"/>
      <c r="V7" s="101"/>
      <c r="W7" s="101"/>
      <c r="X7" s="101"/>
      <c r="Y7" s="101"/>
      <c r="Z7" s="101"/>
      <c r="AA7" s="85" t="s">
        <v>88</v>
      </c>
      <c r="AB7" s="110">
        <f>K10</f>
        <v>18.375886806065303</v>
      </c>
      <c r="AC7" s="96" t="s">
        <v>21</v>
      </c>
    </row>
    <row r="8" spans="2:29" s="7" customFormat="1" ht="12" customHeight="1" thickBot="1">
      <c r="B8" s="18"/>
      <c r="C8" s="18"/>
      <c r="D8" s="46"/>
      <c r="E8" s="18"/>
      <c r="F8" s="18"/>
      <c r="G8" s="18"/>
      <c r="H8" s="18"/>
      <c r="I8" s="54"/>
      <c r="J8" s="18"/>
      <c r="K8" s="18"/>
      <c r="L8" s="18"/>
      <c r="N8" s="117"/>
      <c r="O8" s="101"/>
      <c r="P8" s="101"/>
      <c r="Q8" s="101"/>
      <c r="R8" s="101"/>
      <c r="S8" s="101"/>
      <c r="T8" s="101"/>
      <c r="U8" s="101"/>
      <c r="V8" s="101"/>
      <c r="W8" s="101"/>
      <c r="X8" s="101"/>
      <c r="Y8" s="101"/>
      <c r="Z8" s="101"/>
      <c r="AA8" s="85" t="s">
        <v>89</v>
      </c>
      <c r="AB8" s="110">
        <f>1/((1/AB7)+(1/AB10))</f>
        <v>16.370414274845583</v>
      </c>
      <c r="AC8" s="96" t="s">
        <v>21</v>
      </c>
    </row>
    <row r="9" spans="1:29" ht="12" customHeight="1" thickBot="1">
      <c r="A9" s="61" t="s">
        <v>7</v>
      </c>
      <c r="B9" s="62">
        <v>96.5</v>
      </c>
      <c r="C9" s="63" t="s">
        <v>3</v>
      </c>
      <c r="D9" s="19"/>
      <c r="E9" s="18"/>
      <c r="F9" s="21"/>
      <c r="G9" s="64">
        <v>113.5</v>
      </c>
      <c r="H9" s="65" t="s">
        <v>3</v>
      </c>
      <c r="I9" s="66" t="s">
        <v>7</v>
      </c>
      <c r="J9" s="46" t="s">
        <v>23</v>
      </c>
      <c r="K9" s="73">
        <f>'General data'!C12</f>
        <v>275</v>
      </c>
      <c r="L9" s="15" t="s">
        <v>20</v>
      </c>
      <c r="N9" s="117"/>
      <c r="O9" s="101"/>
      <c r="P9" s="101"/>
      <c r="Q9" s="101"/>
      <c r="R9" s="101"/>
      <c r="S9" s="101"/>
      <c r="T9" s="101"/>
      <c r="U9" s="101"/>
      <c r="V9" s="101"/>
      <c r="W9" s="101"/>
      <c r="X9" s="101"/>
      <c r="Y9" s="101"/>
      <c r="Z9" s="101"/>
      <c r="AA9" s="88" t="s">
        <v>42</v>
      </c>
      <c r="AB9" s="89">
        <f>'General data'!C14</f>
        <v>55</v>
      </c>
      <c r="AC9" s="90" t="s">
        <v>4</v>
      </c>
    </row>
    <row r="10" spans="1:29" ht="12" customHeight="1">
      <c r="A10" s="19" t="s">
        <v>6</v>
      </c>
      <c r="B10" s="19">
        <f>E5*D30/100</f>
        <v>102.58953168044077</v>
      </c>
      <c r="C10" s="20" t="s">
        <v>3</v>
      </c>
      <c r="D10" s="19"/>
      <c r="E10" s="18"/>
      <c r="F10" s="21"/>
      <c r="G10" s="23">
        <f>E5*F30/100</f>
        <v>107.41046831955923</v>
      </c>
      <c r="H10" s="22" t="s">
        <v>3</v>
      </c>
      <c r="I10" s="53" t="s">
        <v>6</v>
      </c>
      <c r="J10" s="46" t="s">
        <v>25</v>
      </c>
      <c r="K10" s="73">
        <f>AB5*AB11^2</f>
        <v>18.375886806065303</v>
      </c>
      <c r="L10" s="15" t="s">
        <v>21</v>
      </c>
      <c r="N10" s="117"/>
      <c r="O10" s="101"/>
      <c r="P10" s="101"/>
      <c r="Q10" s="101"/>
      <c r="R10" s="101"/>
      <c r="S10" s="101"/>
      <c r="T10" s="101"/>
      <c r="U10" s="101"/>
      <c r="V10" s="101"/>
      <c r="W10" s="101"/>
      <c r="X10" s="101"/>
      <c r="Y10" s="101"/>
      <c r="Z10" s="101"/>
      <c r="AA10" s="85" t="s">
        <v>31</v>
      </c>
      <c r="AB10" s="110">
        <f>'General data'!C13</f>
        <v>150</v>
      </c>
      <c r="AC10" s="96" t="s">
        <v>21</v>
      </c>
    </row>
    <row r="11" spans="1:29" ht="12" customHeight="1">
      <c r="A11" s="19" t="s">
        <v>5</v>
      </c>
      <c r="B11" s="19">
        <f>B10-B9</f>
        <v>6.089531680440771</v>
      </c>
      <c r="C11" s="20" t="s">
        <v>3</v>
      </c>
      <c r="D11" s="19"/>
      <c r="E11" s="18"/>
      <c r="F11" s="21"/>
      <c r="G11" s="23">
        <f>G10-G9</f>
        <v>-6.089531680440771</v>
      </c>
      <c r="H11" s="22" t="s">
        <v>3</v>
      </c>
      <c r="I11" s="53" t="s">
        <v>5</v>
      </c>
      <c r="J11" s="46" t="s">
        <v>26</v>
      </c>
      <c r="K11" s="60">
        <f>(1/(2*PI()))*SQRT(2000*$AB6/($E3-$AB12))</f>
        <v>2.3513611313753127</v>
      </c>
      <c r="L11" s="15" t="s">
        <v>27</v>
      </c>
      <c r="N11" s="117"/>
      <c r="O11" s="101"/>
      <c r="P11" s="101"/>
      <c r="Q11" s="101"/>
      <c r="R11" s="101"/>
      <c r="S11" s="101"/>
      <c r="T11" s="101"/>
      <c r="U11" s="101"/>
      <c r="V11" s="101"/>
      <c r="W11" s="101"/>
      <c r="X11" s="101"/>
      <c r="Y11" s="101"/>
      <c r="Z11" s="101"/>
      <c r="AA11" s="85" t="s">
        <v>28</v>
      </c>
      <c r="AB11" s="110">
        <f>'General data'!C10</f>
        <v>0.6176</v>
      </c>
      <c r="AC11" s="96" t="s">
        <v>24</v>
      </c>
    </row>
    <row r="12" spans="1:29" s="7" customFormat="1" ht="12" customHeight="1">
      <c r="A12" s="19" t="s">
        <v>33</v>
      </c>
      <c r="B12" s="19">
        <f>((B11*9.81)/$AB11)/$AB5</f>
        <v>2.007760389594634</v>
      </c>
      <c r="C12" s="20" t="s">
        <v>4</v>
      </c>
      <c r="D12" s="19"/>
      <c r="E12" s="18"/>
      <c r="F12" s="21"/>
      <c r="G12" s="23">
        <f>((G11*9.81)/$AB11)/$AB5</f>
        <v>-2.007760389594634</v>
      </c>
      <c r="H12" s="22" t="s">
        <v>4</v>
      </c>
      <c r="I12" s="53" t="s">
        <v>33</v>
      </c>
      <c r="J12" s="46" t="s">
        <v>40</v>
      </c>
      <c r="K12" s="60">
        <f>(((K10+AB10)*1000)/(AB12/2))^(0.5)/2/PI()</f>
        <v>11.92338184269981</v>
      </c>
      <c r="L12" s="15" t="s">
        <v>27</v>
      </c>
      <c r="N12" s="117"/>
      <c r="O12" s="101"/>
      <c r="P12" s="101"/>
      <c r="Q12" s="101"/>
      <c r="R12" s="101"/>
      <c r="S12" s="101"/>
      <c r="T12" s="101"/>
      <c r="U12" s="101"/>
      <c r="V12" s="101"/>
      <c r="W12" s="101"/>
      <c r="X12" s="101"/>
      <c r="Y12" s="101"/>
      <c r="Z12" s="101"/>
      <c r="AA12" s="85" t="s">
        <v>91</v>
      </c>
      <c r="AB12" s="110">
        <f>'General data'!C11</f>
        <v>60</v>
      </c>
      <c r="AC12" s="96" t="s">
        <v>3</v>
      </c>
    </row>
    <row r="13" spans="1:26" s="7" customFormat="1" ht="12" customHeight="1">
      <c r="A13" s="13"/>
      <c r="B13" s="18"/>
      <c r="C13" s="18"/>
      <c r="D13" s="46"/>
      <c r="E13" s="18"/>
      <c r="F13" s="18"/>
      <c r="G13" s="18"/>
      <c r="H13" s="18"/>
      <c r="I13" s="18"/>
      <c r="J13" s="18"/>
      <c r="K13" s="18"/>
      <c r="L13" s="18"/>
      <c r="N13" s="117"/>
      <c r="O13" s="101"/>
      <c r="P13" s="101"/>
      <c r="Q13" s="101"/>
      <c r="R13" s="101"/>
      <c r="S13" s="101"/>
      <c r="T13" s="101"/>
      <c r="U13" s="101"/>
      <c r="V13" s="101"/>
      <c r="W13" s="101"/>
      <c r="X13" s="101"/>
      <c r="Y13" s="101"/>
      <c r="Z13" s="101"/>
    </row>
    <row r="14" spans="4:12" s="7" customFormat="1" ht="12" customHeight="1">
      <c r="D14" s="13"/>
      <c r="F14" s="32"/>
      <c r="G14" s="40">
        <f>((E25/G16)*B15)</f>
        <v>1351.5151515151515</v>
      </c>
      <c r="H14" s="40" t="s">
        <v>4</v>
      </c>
      <c r="I14" s="14" t="s">
        <v>54</v>
      </c>
      <c r="J14" s="13" t="s">
        <v>39</v>
      </c>
      <c r="K14" s="74">
        <f>K20/K11</f>
        <v>1.0336155397780848</v>
      </c>
      <c r="L14" s="14" t="s">
        <v>24</v>
      </c>
    </row>
    <row r="15" spans="1:29" s="7" customFormat="1" ht="12" customHeight="1">
      <c r="A15" s="13" t="s">
        <v>2</v>
      </c>
      <c r="B15" s="13">
        <f>'General data'!C3</f>
        <v>2200</v>
      </c>
      <c r="C15" s="14" t="s">
        <v>4</v>
      </c>
      <c r="D15" s="13"/>
      <c r="G15" s="13">
        <f>((((E24-E6)/2)*(B9+G9)+E6*G9+E24*G18)/G16)-(E24/2)</f>
        <v>14.476584022038537</v>
      </c>
      <c r="H15" s="40" t="s">
        <v>4</v>
      </c>
      <c r="I15" s="14" t="s">
        <v>15</v>
      </c>
      <c r="J15" s="78" t="s">
        <v>52</v>
      </c>
      <c r="K15" s="84">
        <f>(9.81*180/PI())*((E3+E25-AB12-AB24)*(AB28/1000))/((AB25*180/PI())-(E3+E25-AB12-AB24)*9.81*AB28/1000)</f>
        <v>1.355860637892363</v>
      </c>
      <c r="L15" s="79" t="s">
        <v>44</v>
      </c>
      <c r="AA15" s="85" t="s">
        <v>58</v>
      </c>
      <c r="AB15" s="86">
        <f>(0.5*AB19*1000*($E$24/1000)^2)*(PI()/180)</f>
        <v>660.6393324516955</v>
      </c>
      <c r="AC15" s="96" t="s">
        <v>41</v>
      </c>
    </row>
    <row r="16" spans="4:29" s="7" customFormat="1" ht="12" customHeight="1">
      <c r="D16" s="13"/>
      <c r="G16" s="13">
        <f>B9+G9+G18+B18</f>
        <v>544.5</v>
      </c>
      <c r="H16" s="40" t="s">
        <v>3</v>
      </c>
      <c r="I16" s="14" t="s">
        <v>16</v>
      </c>
      <c r="J16" s="78" t="s">
        <v>53</v>
      </c>
      <c r="K16" s="84">
        <f>(9.81*180/PI())*((E3+E25-AB12-AB24)*(AB28/1000))/((AB26*180/PI())-(E3+E25-AB12-AB24)*9.81*AB28/1000)</f>
        <v>1.6589563757840478</v>
      </c>
      <c r="L16" s="79" t="s">
        <v>44</v>
      </c>
      <c r="AA16" s="85" t="s">
        <v>59</v>
      </c>
      <c r="AB16" s="86">
        <f>1/(1/(0.5*AB22*1000*($E$24/1000)^2*(PI()/180))+1/AB15)</f>
        <v>524.2245143349755</v>
      </c>
      <c r="AC16" s="96" t="s">
        <v>41</v>
      </c>
    </row>
    <row r="17" spans="2:29" s="7" customFormat="1" ht="12" customHeight="1" thickBot="1">
      <c r="B17" s="29"/>
      <c r="C17" s="29"/>
      <c r="D17" s="44"/>
      <c r="E17" s="29"/>
      <c r="F17" s="29"/>
      <c r="G17" s="29"/>
      <c r="H17" s="29"/>
      <c r="I17" s="29"/>
      <c r="J17" s="29"/>
      <c r="K17" s="29"/>
      <c r="L17" s="29"/>
      <c r="N17" s="117" t="s">
        <v>64</v>
      </c>
      <c r="O17" s="101"/>
      <c r="P17" s="101"/>
      <c r="Q17" s="101"/>
      <c r="R17" s="101"/>
      <c r="S17" s="101"/>
      <c r="T17" s="101"/>
      <c r="U17" s="101"/>
      <c r="V17" s="101"/>
      <c r="W17" s="101"/>
      <c r="X17" s="101"/>
      <c r="Y17" s="101"/>
      <c r="Z17" s="101"/>
      <c r="AA17" s="85" t="s">
        <v>62</v>
      </c>
      <c r="AB17" s="110">
        <f>K18*0.175186662329416</f>
        <v>48.176332140589395</v>
      </c>
      <c r="AC17" s="96" t="s">
        <v>21</v>
      </c>
    </row>
    <row r="18" spans="1:29" s="7" customFormat="1" ht="12" customHeight="1" thickBot="1">
      <c r="A18" s="70" t="s">
        <v>7</v>
      </c>
      <c r="B18" s="71">
        <v>169.5</v>
      </c>
      <c r="C18" s="72" t="s">
        <v>3</v>
      </c>
      <c r="D18" s="24"/>
      <c r="E18" s="29"/>
      <c r="F18" s="26"/>
      <c r="G18" s="67">
        <v>165</v>
      </c>
      <c r="H18" s="68" t="s">
        <v>3</v>
      </c>
      <c r="I18" s="69" t="s">
        <v>7</v>
      </c>
      <c r="J18" s="44" t="s">
        <v>23</v>
      </c>
      <c r="K18" s="77">
        <f>'General data'!D12</f>
        <v>275</v>
      </c>
      <c r="L18" s="30" t="s">
        <v>20</v>
      </c>
      <c r="M18" s="1"/>
      <c r="N18" s="117"/>
      <c r="O18" s="101"/>
      <c r="P18" s="101"/>
      <c r="Q18" s="101"/>
      <c r="R18" s="101"/>
      <c r="S18" s="101"/>
      <c r="T18" s="101"/>
      <c r="U18" s="101"/>
      <c r="V18" s="101"/>
      <c r="W18" s="101"/>
      <c r="X18" s="101"/>
      <c r="Y18" s="101"/>
      <c r="Z18" s="101"/>
      <c r="AA18" s="85" t="s">
        <v>87</v>
      </c>
      <c r="AB18" s="110">
        <f>1/((1/K19)+(1/AB22))</f>
        <v>32.00580978069094</v>
      </c>
      <c r="AC18" s="96" t="s">
        <v>21</v>
      </c>
    </row>
    <row r="19" spans="1:30" ht="12" customHeight="1">
      <c r="A19" s="24" t="s">
        <v>6</v>
      </c>
      <c r="B19" s="24">
        <f>E27*D30/100</f>
        <v>163.41046831955921</v>
      </c>
      <c r="C19" s="25" t="s">
        <v>3</v>
      </c>
      <c r="D19" s="34"/>
      <c r="E19" s="37"/>
      <c r="F19" s="35"/>
      <c r="G19" s="28">
        <f>E27*F30/100</f>
        <v>171.08953168044079</v>
      </c>
      <c r="H19" s="27" t="s">
        <v>3</v>
      </c>
      <c r="I19" s="52" t="s">
        <v>6</v>
      </c>
      <c r="J19" s="44" t="s">
        <v>25</v>
      </c>
      <c r="K19" s="77">
        <f>AB17*AB23^2</f>
        <v>40.33442967640496</v>
      </c>
      <c r="L19" s="30" t="s">
        <v>21</v>
      </c>
      <c r="N19" s="117"/>
      <c r="O19" s="101"/>
      <c r="P19" s="101"/>
      <c r="Q19" s="101"/>
      <c r="R19" s="101"/>
      <c r="S19" s="101"/>
      <c r="T19" s="101"/>
      <c r="U19" s="101"/>
      <c r="V19" s="101"/>
      <c r="W19" s="101"/>
      <c r="X19" s="101"/>
      <c r="Y19" s="101"/>
      <c r="Z19" s="101"/>
      <c r="AA19" s="85" t="s">
        <v>90</v>
      </c>
      <c r="AB19" s="110">
        <f>K19</f>
        <v>40.33442967640496</v>
      </c>
      <c r="AC19" s="96" t="s">
        <v>21</v>
      </c>
      <c r="AD19" s="79"/>
    </row>
    <row r="20" spans="1:29" ht="12" customHeight="1">
      <c r="A20" s="24" t="s">
        <v>5</v>
      </c>
      <c r="B20" s="24">
        <f>B19-B18</f>
        <v>-6.0895316804407855</v>
      </c>
      <c r="C20" s="25" t="s">
        <v>3</v>
      </c>
      <c r="D20" s="24"/>
      <c r="E20" s="29"/>
      <c r="F20" s="26"/>
      <c r="G20" s="28">
        <f>G19-G18</f>
        <v>6.0895316804407855</v>
      </c>
      <c r="H20" s="27" t="s">
        <v>3</v>
      </c>
      <c r="I20" s="52" t="s">
        <v>5</v>
      </c>
      <c r="J20" s="44" t="s">
        <v>26</v>
      </c>
      <c r="K20" s="55">
        <f>(1/(2*PI()))*SQRT(2000*$AB18/($E25-$AB24))</f>
        <v>2.430403405019702</v>
      </c>
      <c r="L20" s="30" t="s">
        <v>27</v>
      </c>
      <c r="N20" s="117"/>
      <c r="O20" s="101"/>
      <c r="P20" s="101"/>
      <c r="Q20" s="101"/>
      <c r="R20" s="101"/>
      <c r="S20" s="101"/>
      <c r="T20" s="101"/>
      <c r="U20" s="101"/>
      <c r="V20" s="101"/>
      <c r="W20" s="101"/>
      <c r="X20" s="101"/>
      <c r="Y20" s="101"/>
      <c r="Z20" s="101"/>
      <c r="AA20" s="85" t="s">
        <v>89</v>
      </c>
      <c r="AB20" s="110">
        <f>1/((1/AB19)+(1/AB22))</f>
        <v>32.00580978069094</v>
      </c>
      <c r="AC20" s="96" t="s">
        <v>21</v>
      </c>
    </row>
    <row r="21" spans="1:29" ht="12" customHeight="1">
      <c r="A21" s="24" t="s">
        <v>33</v>
      </c>
      <c r="B21" s="24">
        <f>((B20*9.81)/$AB23)/$AB17</f>
        <v>-1.3551834061351355</v>
      </c>
      <c r="C21" s="25" t="s">
        <v>4</v>
      </c>
      <c r="D21" s="24"/>
      <c r="E21" s="29"/>
      <c r="F21" s="26"/>
      <c r="G21" s="28">
        <f>((G20*9.81)/$AB23)/$AB17</f>
        <v>1.3551834061351355</v>
      </c>
      <c r="H21" s="26" t="s">
        <v>4</v>
      </c>
      <c r="I21" s="26" t="s">
        <v>33</v>
      </c>
      <c r="J21" s="44" t="s">
        <v>40</v>
      </c>
      <c r="K21" s="75">
        <f>(((K19+AB22)*1000)/(AB24/2))^(0.5)/2/PI()</f>
        <v>12.842480167045338</v>
      </c>
      <c r="L21" s="30" t="s">
        <v>27</v>
      </c>
      <c r="M21" s="7"/>
      <c r="N21" s="117"/>
      <c r="O21" s="101"/>
      <c r="P21" s="101"/>
      <c r="Q21" s="101"/>
      <c r="R21" s="101"/>
      <c r="S21" s="101"/>
      <c r="T21" s="101"/>
      <c r="U21" s="101"/>
      <c r="V21" s="101"/>
      <c r="W21" s="101"/>
      <c r="X21" s="101"/>
      <c r="Y21" s="101"/>
      <c r="Z21" s="101"/>
      <c r="AA21" s="88" t="s">
        <v>43</v>
      </c>
      <c r="AB21" s="89">
        <f>'General data'!D14</f>
        <v>55</v>
      </c>
      <c r="AC21" s="90" t="s">
        <v>4</v>
      </c>
    </row>
    <row r="22" spans="2:29" s="7" customFormat="1" ht="12" customHeight="1">
      <c r="B22" s="29"/>
      <c r="C22" s="29"/>
      <c r="D22" s="44"/>
      <c r="E22" s="29"/>
      <c r="F22" s="29"/>
      <c r="G22" s="29"/>
      <c r="H22" s="29"/>
      <c r="I22" s="29"/>
      <c r="J22" s="29"/>
      <c r="K22" s="29"/>
      <c r="L22" s="29"/>
      <c r="N22" s="117"/>
      <c r="O22" s="101"/>
      <c r="P22" s="101"/>
      <c r="Q22" s="101"/>
      <c r="R22" s="101"/>
      <c r="S22" s="101"/>
      <c r="T22" s="101"/>
      <c r="U22" s="101"/>
      <c r="V22" s="101"/>
      <c r="W22" s="101"/>
      <c r="X22" s="101"/>
      <c r="Y22" s="101"/>
      <c r="Z22" s="101"/>
      <c r="AA22" s="85" t="s">
        <v>32</v>
      </c>
      <c r="AB22" s="110">
        <f>'General data'!D13</f>
        <v>155</v>
      </c>
      <c r="AC22" s="96" t="s">
        <v>21</v>
      </c>
    </row>
    <row r="23" spans="2:29" s="7" customFormat="1" ht="12" customHeight="1">
      <c r="B23" s="29"/>
      <c r="C23" s="29"/>
      <c r="D23" s="44"/>
      <c r="E23" s="29"/>
      <c r="F23" s="29"/>
      <c r="M23" s="1"/>
      <c r="N23" s="117"/>
      <c r="O23" s="101"/>
      <c r="P23" s="101"/>
      <c r="Q23" s="101"/>
      <c r="R23" s="101"/>
      <c r="S23" s="101"/>
      <c r="T23" s="101"/>
      <c r="U23" s="101"/>
      <c r="V23" s="101"/>
      <c r="W23" s="101"/>
      <c r="X23" s="101"/>
      <c r="Y23" s="101"/>
      <c r="Z23" s="101"/>
      <c r="AA23" s="85" t="s">
        <v>29</v>
      </c>
      <c r="AB23" s="110">
        <f>'General data'!D10</f>
        <v>0.915</v>
      </c>
      <c r="AC23" s="96" t="s">
        <v>24</v>
      </c>
    </row>
    <row r="24" spans="1:29" ht="12" customHeight="1">
      <c r="A24" s="33"/>
      <c r="B24" s="58"/>
      <c r="C24" s="59"/>
      <c r="D24" s="44" t="s">
        <v>1</v>
      </c>
      <c r="E24" s="44">
        <f>'General data'!D9</f>
        <v>1370</v>
      </c>
      <c r="F24" s="29" t="s">
        <v>4</v>
      </c>
      <c r="J24" s="2" t="s">
        <v>93</v>
      </c>
      <c r="K24" s="116">
        <f>AB3/(AB3+AB15)*100</f>
        <v>28.77159282164698</v>
      </c>
      <c r="L24" s="1" t="s">
        <v>10</v>
      </c>
      <c r="M24" s="4"/>
      <c r="N24" s="117"/>
      <c r="O24" s="101"/>
      <c r="P24" s="101"/>
      <c r="Q24" s="101"/>
      <c r="R24" s="101"/>
      <c r="S24" s="101"/>
      <c r="T24" s="101"/>
      <c r="U24" s="101"/>
      <c r="V24" s="101"/>
      <c r="W24" s="101"/>
      <c r="X24" s="101"/>
      <c r="Y24" s="101"/>
      <c r="Z24" s="101"/>
      <c r="AA24" s="85" t="s">
        <v>92</v>
      </c>
      <c r="AB24" s="110">
        <f>'General data'!D11</f>
        <v>60</v>
      </c>
      <c r="AC24" s="96" t="s">
        <v>3</v>
      </c>
    </row>
    <row r="25" spans="1:29" s="4" customFormat="1" ht="12" customHeight="1">
      <c r="A25" s="2"/>
      <c r="B25" s="36"/>
      <c r="C25" s="36"/>
      <c r="D25" s="44" t="s">
        <v>9</v>
      </c>
      <c r="E25" s="45">
        <f>B18+G18</f>
        <v>334.5</v>
      </c>
      <c r="F25" s="30" t="s">
        <v>3</v>
      </c>
      <c r="J25" s="2" t="s">
        <v>94</v>
      </c>
      <c r="K25" s="116">
        <f>100-K24</f>
        <v>71.22840717835302</v>
      </c>
      <c r="L25" s="3" t="s">
        <v>10</v>
      </c>
      <c r="N25" s="117"/>
      <c r="O25" s="101"/>
      <c r="P25" s="101"/>
      <c r="Q25" s="101"/>
      <c r="R25" s="101"/>
      <c r="S25" s="101"/>
      <c r="T25" s="101"/>
      <c r="U25" s="101"/>
      <c r="V25" s="101"/>
      <c r="W25" s="101"/>
      <c r="X25" s="101"/>
      <c r="Y25" s="101"/>
      <c r="Z25" s="101"/>
      <c r="AA25" s="85" t="s">
        <v>45</v>
      </c>
      <c r="AB25" s="86">
        <f>AB3+AB15</f>
        <v>927.4941819174499</v>
      </c>
      <c r="AC25" s="87" t="s">
        <v>41</v>
      </c>
    </row>
    <row r="26" spans="1:29" s="4" customFormat="1" ht="12" customHeight="1">
      <c r="A26" s="2"/>
      <c r="B26" s="36"/>
      <c r="C26" s="36"/>
      <c r="D26" s="44" t="s">
        <v>36</v>
      </c>
      <c r="E26" s="45">
        <f>E25*9.81</f>
        <v>3281.445</v>
      </c>
      <c r="F26" s="30" t="s">
        <v>35</v>
      </c>
      <c r="N26" s="117"/>
      <c r="O26" s="101"/>
      <c r="P26" s="101"/>
      <c r="Q26" s="101"/>
      <c r="R26" s="101"/>
      <c r="S26" s="101"/>
      <c r="T26" s="101"/>
      <c r="U26" s="101"/>
      <c r="V26" s="101"/>
      <c r="W26" s="101"/>
      <c r="X26" s="101"/>
      <c r="Y26" s="101"/>
      <c r="Z26" s="101"/>
      <c r="AA26" s="85" t="s">
        <v>46</v>
      </c>
      <c r="AB26" s="86">
        <f>AB4+AB16</f>
        <v>761.9558675540236</v>
      </c>
      <c r="AC26" s="87" t="s">
        <v>41</v>
      </c>
    </row>
    <row r="27" spans="1:29" s="4" customFormat="1" ht="12" customHeight="1">
      <c r="A27" s="2"/>
      <c r="B27" s="36"/>
      <c r="C27" s="36"/>
      <c r="D27" s="44" t="s">
        <v>48</v>
      </c>
      <c r="E27" s="45">
        <f>E25/G16*100</f>
        <v>61.43250688705234</v>
      </c>
      <c r="F27" s="30" t="s">
        <v>10</v>
      </c>
      <c r="N27" s="117"/>
      <c r="O27" s="101"/>
      <c r="P27" s="101"/>
      <c r="Q27" s="101"/>
      <c r="R27" s="101"/>
      <c r="S27" s="101"/>
      <c r="T27" s="101"/>
      <c r="U27" s="101"/>
      <c r="V27" s="101"/>
      <c r="W27" s="101"/>
      <c r="X27" s="101"/>
      <c r="Y27" s="101"/>
      <c r="Z27" s="101"/>
      <c r="AA27" s="88" t="s">
        <v>50</v>
      </c>
      <c r="AB27" s="89">
        <f>AB9+G14*((AB21-AB9)/B15)</f>
        <v>55</v>
      </c>
      <c r="AC27" s="90" t="s">
        <v>4</v>
      </c>
    </row>
    <row r="28" spans="1:29" s="39" customFormat="1" ht="12" customHeight="1">
      <c r="A28" s="38"/>
      <c r="C28" s="118" t="s">
        <v>10</v>
      </c>
      <c r="D28" s="119" t="s">
        <v>3</v>
      </c>
      <c r="E28" s="43"/>
      <c r="F28" s="118" t="s">
        <v>3</v>
      </c>
      <c r="G28" s="119" t="s">
        <v>10</v>
      </c>
      <c r="I28" s="50"/>
      <c r="AA28" s="88" t="s">
        <v>51</v>
      </c>
      <c r="AB28" s="89">
        <f>'General data'!C7-AB27</f>
        <v>295</v>
      </c>
      <c r="AC28" s="90" t="s">
        <v>4</v>
      </c>
    </row>
    <row r="29" spans="1:29" s="39" customFormat="1" ht="12" customHeight="1">
      <c r="A29" s="38"/>
      <c r="C29" s="118"/>
      <c r="D29" s="119"/>
      <c r="E29" s="43"/>
      <c r="F29" s="118"/>
      <c r="G29" s="119"/>
      <c r="I29" s="50"/>
      <c r="AA29" s="85"/>
      <c r="AB29" s="85"/>
      <c r="AC29" s="100"/>
    </row>
    <row r="30" spans="1:29" s="5" customFormat="1" ht="29.25">
      <c r="A30" s="2"/>
      <c r="B30" s="2"/>
      <c r="C30" s="56">
        <f>D30/$G$16*100</f>
        <v>48.852157943067034</v>
      </c>
      <c r="D30" s="57">
        <f>B9+B18</f>
        <v>266</v>
      </c>
      <c r="E30" s="51"/>
      <c r="F30" s="56">
        <f>G9+G18</f>
        <v>278.5</v>
      </c>
      <c r="G30" s="57">
        <f>F30/$G$16*100</f>
        <v>51.147842056932966</v>
      </c>
      <c r="H30" s="3"/>
      <c r="J30" s="2"/>
      <c r="K30" s="76"/>
      <c r="L30" s="3"/>
      <c r="AA30" s="85"/>
      <c r="AB30" s="87"/>
      <c r="AC30" s="87"/>
    </row>
    <row r="31" spans="1:29" s="5" customFormat="1" ht="114.75">
      <c r="A31" s="2"/>
      <c r="B31" s="2"/>
      <c r="C31" s="56" t="s">
        <v>13</v>
      </c>
      <c r="D31" s="57" t="s">
        <v>14</v>
      </c>
      <c r="E31" s="31"/>
      <c r="F31" s="56" t="s">
        <v>11</v>
      </c>
      <c r="G31" s="57" t="s">
        <v>12</v>
      </c>
      <c r="H31" s="3"/>
      <c r="J31" s="2"/>
      <c r="K31" s="76"/>
      <c r="L31" s="3"/>
      <c r="AA31" s="111"/>
      <c r="AB31" s="85"/>
      <c r="AC31" s="110"/>
    </row>
    <row r="32" spans="1:29" s="5" customFormat="1" ht="12" customHeight="1">
      <c r="A32" s="2"/>
      <c r="B32" s="2"/>
      <c r="C32" s="3"/>
      <c r="D32" s="13"/>
      <c r="E32" s="41"/>
      <c r="F32" s="41"/>
      <c r="G32" s="2"/>
      <c r="H32" s="3"/>
      <c r="J32" s="2"/>
      <c r="K32" s="76"/>
      <c r="L32" s="3"/>
      <c r="AA32" s="111"/>
      <c r="AB32" s="85"/>
      <c r="AC32" s="110"/>
    </row>
    <row r="33" spans="1:29" s="5" customFormat="1" ht="12.75">
      <c r="A33" s="2"/>
      <c r="B33" s="2"/>
      <c r="C33" s="3"/>
      <c r="D33" s="13"/>
      <c r="E33" s="41"/>
      <c r="F33" s="41"/>
      <c r="G33" s="13"/>
      <c r="H33" s="13"/>
      <c r="J33" s="2"/>
      <c r="K33" s="76"/>
      <c r="L33" s="3"/>
      <c r="AA33" s="111"/>
      <c r="AB33" s="85"/>
      <c r="AC33" s="110"/>
    </row>
    <row r="34" spans="1:29" s="5" customFormat="1" ht="12.75">
      <c r="A34" s="2"/>
      <c r="B34" s="2"/>
      <c r="C34" s="3"/>
      <c r="D34" s="13"/>
      <c r="E34" s="41"/>
      <c r="F34" s="41"/>
      <c r="G34" s="14"/>
      <c r="H34" s="14"/>
      <c r="J34" s="2"/>
      <c r="K34" s="76"/>
      <c r="L34" s="3"/>
      <c r="AA34" s="111"/>
      <c r="AB34" s="85"/>
      <c r="AC34" s="110"/>
    </row>
    <row r="35" spans="1:29" s="5" customFormat="1" ht="12.75">
      <c r="A35" s="2"/>
      <c r="B35" s="2"/>
      <c r="C35" s="3"/>
      <c r="D35" s="2"/>
      <c r="F35" s="6"/>
      <c r="G35" s="40"/>
      <c r="H35" s="40"/>
      <c r="J35" s="2"/>
      <c r="K35" s="76"/>
      <c r="L35" s="3"/>
      <c r="AA35" s="111"/>
      <c r="AB35" s="85"/>
      <c r="AC35" s="110"/>
    </row>
    <row r="36" spans="1:29" s="5" customFormat="1" ht="12.75">
      <c r="A36" s="2"/>
      <c r="B36" s="8"/>
      <c r="C36" s="9"/>
      <c r="D36" s="8"/>
      <c r="E36" s="10"/>
      <c r="F36" s="11"/>
      <c r="G36" s="2"/>
      <c r="H36" s="9"/>
      <c r="J36" s="2"/>
      <c r="K36" s="76"/>
      <c r="L36" s="3"/>
      <c r="AA36" s="111"/>
      <c r="AB36" s="85"/>
      <c r="AC36" s="110"/>
    </row>
    <row r="37" ht="12.75">
      <c r="E37" s="4"/>
    </row>
    <row r="38" spans="1:8" ht="12.75">
      <c r="A38" s="1"/>
      <c r="B38" s="1"/>
      <c r="C38" s="1"/>
      <c r="E38" s="4"/>
      <c r="H38" s="1"/>
    </row>
    <row r="39" spans="1:5" ht="12.75">
      <c r="A39" s="1"/>
      <c r="B39" s="1"/>
      <c r="C39" s="1"/>
      <c r="E39" s="4"/>
    </row>
    <row r="40" spans="1:8" ht="12.75">
      <c r="A40" s="1"/>
      <c r="B40" s="1"/>
      <c r="C40" s="1"/>
      <c r="H40" s="1"/>
    </row>
    <row r="41" spans="1:8" ht="12.75">
      <c r="A41" s="1"/>
      <c r="B41" s="1"/>
      <c r="C41" s="1"/>
      <c r="H41" s="1"/>
    </row>
    <row r="42" spans="1:8" ht="12.75">
      <c r="A42" s="1"/>
      <c r="B42" s="1"/>
      <c r="C42" s="1"/>
      <c r="H42" s="1"/>
    </row>
    <row r="43" spans="1:3" ht="12.75">
      <c r="A43" s="1"/>
      <c r="B43" s="1"/>
      <c r="C43" s="1"/>
    </row>
    <row r="44" spans="1:3" ht="12.75">
      <c r="A44" s="1"/>
      <c r="B44" s="1"/>
      <c r="C44" s="1"/>
    </row>
    <row r="45" spans="1:3" ht="12.75">
      <c r="A45" s="1"/>
      <c r="B45" s="1"/>
      <c r="C45" s="1"/>
    </row>
  </sheetData>
  <mergeCells count="6">
    <mergeCell ref="N3:N13"/>
    <mergeCell ref="N17:N27"/>
    <mergeCell ref="C28:C29"/>
    <mergeCell ref="D28:D29"/>
    <mergeCell ref="F28:F29"/>
    <mergeCell ref="G28:G29"/>
  </mergeCells>
  <hyperlinks>
    <hyperlink ref="H4" location="'General data'!A1" display="Fill in the General data worksheet"/>
  </hyperlink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AD45"/>
  <sheetViews>
    <sheetView showGridLines="0" zoomScale="70" zoomScaleNormal="70" workbookViewId="0" topLeftCell="A1">
      <selection activeCell="A1" sqref="A1"/>
    </sheetView>
  </sheetViews>
  <sheetFormatPr defaultColWidth="9.140625" defaultRowHeight="12.75"/>
  <cols>
    <col min="1" max="1" width="24.7109375" style="2" bestFit="1" customWidth="1"/>
    <col min="2" max="2" width="6.7109375" style="2" customWidth="1"/>
    <col min="3" max="3" width="4.8515625" style="3" bestFit="1" customWidth="1"/>
    <col min="4" max="4" width="6.7109375" style="2" customWidth="1"/>
    <col min="5" max="6" width="6.7109375" style="1" customWidth="1"/>
    <col min="7" max="7" width="6.7109375" style="2" customWidth="1"/>
    <col min="8" max="8" width="4.140625" style="3" bestFit="1" customWidth="1"/>
    <col min="9" max="9" width="25.28125" style="5" bestFit="1" customWidth="1"/>
    <col min="10" max="10" width="21.28125" style="2" bestFit="1" customWidth="1"/>
    <col min="11" max="11" width="7.7109375" style="76" customWidth="1"/>
    <col min="12" max="12" width="8.57421875" style="3" bestFit="1" customWidth="1"/>
    <col min="13" max="26" width="5.7109375" style="1" customWidth="1"/>
    <col min="27" max="27" width="26.140625" style="87" customWidth="1"/>
    <col min="28" max="28" width="7.7109375" style="85" customWidth="1"/>
    <col min="29" max="29" width="7.421875" style="110" bestFit="1" customWidth="1"/>
    <col min="30" max="16384" width="9.140625" style="1" customWidth="1"/>
  </cols>
  <sheetData>
    <row r="1" spans="1:12" ht="12" customHeight="1">
      <c r="A1" s="49" t="s">
        <v>37</v>
      </c>
      <c r="J1" s="1"/>
      <c r="K1" s="1"/>
      <c r="L1" s="1"/>
    </row>
    <row r="2" spans="1:29" s="4" customFormat="1" ht="12" customHeight="1">
      <c r="A2" s="97" t="s">
        <v>100</v>
      </c>
      <c r="B2" s="2"/>
      <c r="C2" s="3"/>
      <c r="D2" s="13"/>
      <c r="E2" s="43"/>
      <c r="F2" s="42"/>
      <c r="G2" s="2"/>
      <c r="H2" s="93" t="s">
        <v>17</v>
      </c>
      <c r="I2" s="93"/>
      <c r="AA2" s="91" t="s">
        <v>55</v>
      </c>
      <c r="AB2" s="94"/>
      <c r="AC2" s="95"/>
    </row>
    <row r="3" spans="2:29" s="4" customFormat="1" ht="12" customHeight="1">
      <c r="B3" s="46"/>
      <c r="C3" s="15"/>
      <c r="D3" s="46" t="s">
        <v>8</v>
      </c>
      <c r="E3" s="47">
        <f>B9+G9</f>
        <v>243.5</v>
      </c>
      <c r="F3" s="15" t="s">
        <v>3</v>
      </c>
      <c r="G3" s="13"/>
      <c r="H3" s="99" t="s">
        <v>18</v>
      </c>
      <c r="I3" s="99"/>
      <c r="N3" s="117" t="s">
        <v>64</v>
      </c>
      <c r="O3" s="101"/>
      <c r="P3" s="101"/>
      <c r="Q3" s="101"/>
      <c r="R3" s="101"/>
      <c r="S3" s="101"/>
      <c r="T3" s="101"/>
      <c r="U3" s="101"/>
      <c r="V3" s="101"/>
      <c r="W3" s="101"/>
      <c r="X3" s="101"/>
      <c r="Y3" s="101"/>
      <c r="Z3" s="101"/>
      <c r="AA3" s="85" t="s">
        <v>56</v>
      </c>
      <c r="AB3" s="86">
        <f>(0.5*AB7*1000*($E$6/1000)^2)*(PI()/180)</f>
        <v>266.8548494657544</v>
      </c>
      <c r="AC3" s="96" t="s">
        <v>41</v>
      </c>
    </row>
    <row r="4" spans="1:29" s="4" customFormat="1" ht="12" customHeight="1">
      <c r="A4" s="13"/>
      <c r="B4" s="46"/>
      <c r="C4" s="15"/>
      <c r="D4" s="46" t="s">
        <v>34</v>
      </c>
      <c r="E4" s="47">
        <f>E3*9.81</f>
        <v>2388.735</v>
      </c>
      <c r="F4" s="15" t="s">
        <v>35</v>
      </c>
      <c r="G4" s="13"/>
      <c r="H4" s="98" t="s">
        <v>38</v>
      </c>
      <c r="I4" s="98"/>
      <c r="N4" s="117"/>
      <c r="O4" s="101"/>
      <c r="P4" s="101"/>
      <c r="Q4" s="101"/>
      <c r="R4" s="112" t="s">
        <v>85</v>
      </c>
      <c r="S4" s="101"/>
      <c r="T4" s="101"/>
      <c r="U4" s="101"/>
      <c r="V4" s="101"/>
      <c r="W4" s="101"/>
      <c r="X4" s="101"/>
      <c r="Y4" s="101"/>
      <c r="Z4" s="101"/>
      <c r="AA4" s="85" t="s">
        <v>57</v>
      </c>
      <c r="AB4" s="86">
        <f>1/(1/(0.5*AB10*1000*($E$6/1000)^2*(PI()/180))+1/AB3)</f>
        <v>237.73135321904803</v>
      </c>
      <c r="AC4" s="96" t="s">
        <v>41</v>
      </c>
    </row>
    <row r="5" spans="1:29" s="4" customFormat="1" ht="12" customHeight="1">
      <c r="A5" s="13"/>
      <c r="B5" s="46"/>
      <c r="C5" s="15"/>
      <c r="D5" s="46" t="s">
        <v>49</v>
      </c>
      <c r="E5" s="47">
        <f>E3/G16*100</f>
        <v>39.0224358974359</v>
      </c>
      <c r="F5" s="15" t="s">
        <v>10</v>
      </c>
      <c r="G5" s="13"/>
      <c r="H5" s="92" t="s">
        <v>19</v>
      </c>
      <c r="I5" s="92"/>
      <c r="N5" s="117"/>
      <c r="O5" s="101"/>
      <c r="P5" s="101"/>
      <c r="Q5" s="101"/>
      <c r="R5" s="101"/>
      <c r="S5" s="101"/>
      <c r="T5" s="101"/>
      <c r="U5" s="101"/>
      <c r="V5" s="101"/>
      <c r="W5" s="101"/>
      <c r="X5" s="101"/>
      <c r="Y5" s="101"/>
      <c r="Z5" s="101"/>
      <c r="AA5" s="85" t="s">
        <v>61</v>
      </c>
      <c r="AB5" s="110">
        <f>K9*0.175186662329416</f>
        <v>48.176332140589395</v>
      </c>
      <c r="AC5" s="96" t="s">
        <v>21</v>
      </c>
    </row>
    <row r="6" spans="2:29" s="12" customFormat="1" ht="12" customHeight="1">
      <c r="B6" s="17"/>
      <c r="C6" s="17"/>
      <c r="D6" s="46" t="s">
        <v>0</v>
      </c>
      <c r="E6" s="46">
        <f>'General data'!C9</f>
        <v>1290</v>
      </c>
      <c r="F6" s="15" t="s">
        <v>4</v>
      </c>
      <c r="G6" s="31"/>
      <c r="H6" s="14" t="s">
        <v>63</v>
      </c>
      <c r="I6" s="51"/>
      <c r="N6" s="117"/>
      <c r="O6" s="101"/>
      <c r="P6" s="101"/>
      <c r="Q6" s="101"/>
      <c r="R6" s="101"/>
      <c r="S6" s="101"/>
      <c r="T6" s="101"/>
      <c r="U6" s="101"/>
      <c r="V6" s="101"/>
      <c r="W6" s="101"/>
      <c r="X6" s="101"/>
      <c r="Y6" s="101"/>
      <c r="Z6" s="101"/>
      <c r="AA6" s="85" t="s">
        <v>86</v>
      </c>
      <c r="AB6" s="110">
        <f>1/((1/K10)+(1/AB10))</f>
        <v>16.370414274845583</v>
      </c>
      <c r="AC6" s="96" t="s">
        <v>21</v>
      </c>
    </row>
    <row r="7" spans="2:29" s="31" customFormat="1" ht="12" customHeight="1">
      <c r="B7" s="17"/>
      <c r="C7" s="17"/>
      <c r="D7" s="48"/>
      <c r="E7" s="17"/>
      <c r="F7" s="16"/>
      <c r="I7" s="51"/>
      <c r="N7" s="117"/>
      <c r="O7" s="101"/>
      <c r="P7" s="101"/>
      <c r="Q7" s="101"/>
      <c r="R7" s="101"/>
      <c r="S7" s="101"/>
      <c r="T7" s="101"/>
      <c r="U7" s="101"/>
      <c r="V7" s="101"/>
      <c r="W7" s="101"/>
      <c r="X7" s="101"/>
      <c r="Y7" s="101"/>
      <c r="Z7" s="101"/>
      <c r="AA7" s="85" t="s">
        <v>88</v>
      </c>
      <c r="AB7" s="110">
        <f>K10</f>
        <v>18.375886806065303</v>
      </c>
      <c r="AC7" s="96" t="s">
        <v>21</v>
      </c>
    </row>
    <row r="8" spans="2:29" s="7" customFormat="1" ht="12" customHeight="1" thickBot="1">
      <c r="B8" s="18"/>
      <c r="C8" s="18"/>
      <c r="D8" s="46"/>
      <c r="E8" s="18"/>
      <c r="F8" s="18"/>
      <c r="G8" s="18"/>
      <c r="H8" s="18"/>
      <c r="I8" s="54"/>
      <c r="J8" s="18"/>
      <c r="K8" s="18"/>
      <c r="L8" s="18"/>
      <c r="N8" s="117"/>
      <c r="O8" s="101"/>
      <c r="P8" s="101"/>
      <c r="Q8" s="101"/>
      <c r="R8" s="101"/>
      <c r="S8" s="101"/>
      <c r="T8" s="101"/>
      <c r="U8" s="101"/>
      <c r="V8" s="101"/>
      <c r="W8" s="101"/>
      <c r="X8" s="101"/>
      <c r="Y8" s="101"/>
      <c r="Z8" s="101"/>
      <c r="AA8" s="85" t="s">
        <v>89</v>
      </c>
      <c r="AB8" s="110">
        <f>1/((1/AB7)+(1/AB10))</f>
        <v>16.370414274845583</v>
      </c>
      <c r="AC8" s="96" t="s">
        <v>21</v>
      </c>
    </row>
    <row r="9" spans="1:29" ht="12" customHeight="1" thickBot="1">
      <c r="A9" s="61" t="s">
        <v>7</v>
      </c>
      <c r="B9" s="62">
        <v>108.5</v>
      </c>
      <c r="C9" s="63" t="s">
        <v>3</v>
      </c>
      <c r="D9" s="19"/>
      <c r="E9" s="18"/>
      <c r="F9" s="21"/>
      <c r="G9" s="64">
        <v>135</v>
      </c>
      <c r="H9" s="65" t="s">
        <v>3</v>
      </c>
      <c r="I9" s="66" t="s">
        <v>7</v>
      </c>
      <c r="J9" s="46" t="s">
        <v>23</v>
      </c>
      <c r="K9" s="73">
        <f>'General data'!C12</f>
        <v>275</v>
      </c>
      <c r="L9" s="15" t="s">
        <v>20</v>
      </c>
      <c r="N9" s="117"/>
      <c r="O9" s="101"/>
      <c r="P9" s="101"/>
      <c r="Q9" s="101"/>
      <c r="R9" s="101"/>
      <c r="S9" s="101"/>
      <c r="T9" s="101"/>
      <c r="U9" s="101"/>
      <c r="V9" s="101"/>
      <c r="W9" s="101"/>
      <c r="X9" s="101"/>
      <c r="Y9" s="101"/>
      <c r="Z9" s="101"/>
      <c r="AA9" s="88" t="s">
        <v>42</v>
      </c>
      <c r="AB9" s="89">
        <f>'General data'!C14</f>
        <v>55</v>
      </c>
      <c r="AC9" s="90" t="s">
        <v>4</v>
      </c>
    </row>
    <row r="10" spans="1:29" ht="12" customHeight="1">
      <c r="A10" s="19" t="s">
        <v>6</v>
      </c>
      <c r="B10" s="19">
        <f>E5*D30/100</f>
        <v>113.75040064102565</v>
      </c>
      <c r="C10" s="20" t="s">
        <v>3</v>
      </c>
      <c r="D10" s="19"/>
      <c r="E10" s="18"/>
      <c r="F10" s="21"/>
      <c r="G10" s="23">
        <f>E5*F30/100</f>
        <v>129.74959935897436</v>
      </c>
      <c r="H10" s="22" t="s">
        <v>3</v>
      </c>
      <c r="I10" s="53" t="s">
        <v>6</v>
      </c>
      <c r="J10" s="46" t="s">
        <v>25</v>
      </c>
      <c r="K10" s="73">
        <f>AB5*AB11^2</f>
        <v>18.375886806065303</v>
      </c>
      <c r="L10" s="15" t="s">
        <v>21</v>
      </c>
      <c r="N10" s="117"/>
      <c r="O10" s="101"/>
      <c r="P10" s="101"/>
      <c r="Q10" s="101"/>
      <c r="R10" s="101"/>
      <c r="S10" s="101"/>
      <c r="T10" s="101"/>
      <c r="U10" s="101"/>
      <c r="V10" s="101"/>
      <c r="W10" s="101"/>
      <c r="X10" s="101"/>
      <c r="Y10" s="101"/>
      <c r="Z10" s="101"/>
      <c r="AA10" s="85" t="s">
        <v>31</v>
      </c>
      <c r="AB10" s="110">
        <f>'General data'!C13</f>
        <v>150</v>
      </c>
      <c r="AC10" s="96" t="s">
        <v>21</v>
      </c>
    </row>
    <row r="11" spans="1:29" ht="12" customHeight="1">
      <c r="A11" s="19" t="s">
        <v>5</v>
      </c>
      <c r="B11" s="19">
        <f>B10-B9</f>
        <v>5.250400641025649</v>
      </c>
      <c r="C11" s="20" t="s">
        <v>3</v>
      </c>
      <c r="D11" s="19"/>
      <c r="E11" s="18"/>
      <c r="F11" s="21"/>
      <c r="G11" s="23">
        <f>G10-G9</f>
        <v>-5.250400641025635</v>
      </c>
      <c r="H11" s="22" t="s">
        <v>3</v>
      </c>
      <c r="I11" s="53" t="s">
        <v>5</v>
      </c>
      <c r="J11" s="46" t="s">
        <v>26</v>
      </c>
      <c r="K11" s="60">
        <f>(1/(2*PI()))*SQRT(2000*$AB6/($E3-$AB12))</f>
        <v>2.1259200611461355</v>
      </c>
      <c r="L11" s="15" t="s">
        <v>27</v>
      </c>
      <c r="N11" s="117"/>
      <c r="O11" s="101"/>
      <c r="P11" s="101"/>
      <c r="Q11" s="101"/>
      <c r="R11" s="101"/>
      <c r="S11" s="101"/>
      <c r="T11" s="101"/>
      <c r="U11" s="101"/>
      <c r="V11" s="101"/>
      <c r="W11" s="101"/>
      <c r="X11" s="101"/>
      <c r="Y11" s="101"/>
      <c r="Z11" s="101"/>
      <c r="AA11" s="85" t="s">
        <v>28</v>
      </c>
      <c r="AB11" s="110">
        <f>'General data'!C10</f>
        <v>0.6176</v>
      </c>
      <c r="AC11" s="96" t="s">
        <v>24</v>
      </c>
    </row>
    <row r="12" spans="1:29" s="7" customFormat="1" ht="12" customHeight="1">
      <c r="A12" s="19" t="s">
        <v>33</v>
      </c>
      <c r="B12" s="19">
        <f>((B11*9.81)/$AB11)/$AB5</f>
        <v>1.7310931266541267</v>
      </c>
      <c r="C12" s="20" t="s">
        <v>4</v>
      </c>
      <c r="D12" s="19"/>
      <c r="E12" s="18"/>
      <c r="F12" s="21"/>
      <c r="G12" s="23">
        <f>((G11*9.81)/$AB11)/$AB5</f>
        <v>-1.731093126654122</v>
      </c>
      <c r="H12" s="22" t="s">
        <v>4</v>
      </c>
      <c r="I12" s="53" t="s">
        <v>33</v>
      </c>
      <c r="J12" s="46" t="s">
        <v>40</v>
      </c>
      <c r="K12" s="60">
        <f>(((K10+AB10)*1000)/(AB12/2))^(0.5)/2/PI()</f>
        <v>11.92338184269981</v>
      </c>
      <c r="L12" s="15" t="s">
        <v>27</v>
      </c>
      <c r="N12" s="117"/>
      <c r="O12" s="101"/>
      <c r="P12" s="101"/>
      <c r="Q12" s="101"/>
      <c r="R12" s="101"/>
      <c r="S12" s="101"/>
      <c r="T12" s="101"/>
      <c r="U12" s="101"/>
      <c r="V12" s="101"/>
      <c r="W12" s="101"/>
      <c r="X12" s="101"/>
      <c r="Y12" s="101"/>
      <c r="Z12" s="101"/>
      <c r="AA12" s="85" t="s">
        <v>91</v>
      </c>
      <c r="AB12" s="110">
        <f>'General data'!C11</f>
        <v>60</v>
      </c>
      <c r="AC12" s="96" t="s">
        <v>3</v>
      </c>
    </row>
    <row r="13" spans="1:26" s="7" customFormat="1" ht="12" customHeight="1">
      <c r="A13" s="13"/>
      <c r="B13" s="18"/>
      <c r="C13" s="18"/>
      <c r="D13" s="46"/>
      <c r="E13" s="18"/>
      <c r="F13" s="18"/>
      <c r="G13" s="18"/>
      <c r="H13" s="18"/>
      <c r="I13" s="18"/>
      <c r="J13" s="18"/>
      <c r="K13" s="18"/>
      <c r="L13" s="18"/>
      <c r="N13" s="117"/>
      <c r="O13" s="101"/>
      <c r="P13" s="101"/>
      <c r="Q13" s="101"/>
      <c r="R13" s="101"/>
      <c r="S13" s="101"/>
      <c r="T13" s="101"/>
      <c r="U13" s="101"/>
      <c r="V13" s="101"/>
      <c r="W13" s="101"/>
      <c r="X13" s="101"/>
      <c r="Y13" s="101"/>
      <c r="Z13" s="101"/>
    </row>
    <row r="14" spans="4:12" s="7" customFormat="1" ht="12" customHeight="1">
      <c r="D14" s="13"/>
      <c r="F14" s="32"/>
      <c r="G14" s="40">
        <f>((E25/G16)*B15)</f>
        <v>1341.5064102564104</v>
      </c>
      <c r="H14" s="40" t="s">
        <v>4</v>
      </c>
      <c r="I14" s="14" t="s">
        <v>54</v>
      </c>
      <c r="J14" s="13" t="s">
        <v>39</v>
      </c>
      <c r="K14" s="74">
        <f>K20/K11</f>
        <v>1.0580071247078293</v>
      </c>
      <c r="L14" s="14" t="s">
        <v>24</v>
      </c>
    </row>
    <row r="15" spans="1:29" s="7" customFormat="1" ht="12" customHeight="1">
      <c r="A15" s="13" t="s">
        <v>2</v>
      </c>
      <c r="B15" s="13">
        <f>'General data'!C3</f>
        <v>2200</v>
      </c>
      <c r="C15" s="14" t="s">
        <v>4</v>
      </c>
      <c r="D15" s="13"/>
      <c r="G15" s="13">
        <f>((((E24-E6)/2)*(B9+G9)+E6*G9+E24*G18)/G16)-(E24/2)</f>
        <v>43.30929487179492</v>
      </c>
      <c r="H15" s="40" t="s">
        <v>4</v>
      </c>
      <c r="I15" s="14" t="s">
        <v>15</v>
      </c>
      <c r="J15" s="78" t="s">
        <v>52</v>
      </c>
      <c r="K15" s="84">
        <f>(9.81*180/PI())*((E3+E25-AB12-AB24)*(AB28/1000))/((AB25*180/PI())-(E3+E25-AB12-AB24)*9.81*AB28/1000)</f>
        <v>1.6169511002701227</v>
      </c>
      <c r="L15" s="79" t="s">
        <v>44</v>
      </c>
      <c r="AA15" s="85" t="s">
        <v>58</v>
      </c>
      <c r="AB15" s="86">
        <f>(0.5*AB19*1000*($E$24/1000)^2)*(PI()/180)</f>
        <v>660.6393324516955</v>
      </c>
      <c r="AC15" s="96" t="s">
        <v>41</v>
      </c>
    </row>
    <row r="16" spans="4:29" s="7" customFormat="1" ht="12" customHeight="1">
      <c r="D16" s="13"/>
      <c r="G16" s="13">
        <f>B9+G9+G18+B18</f>
        <v>624</v>
      </c>
      <c r="H16" s="40" t="s">
        <v>3</v>
      </c>
      <c r="I16" s="14" t="s">
        <v>16</v>
      </c>
      <c r="J16" s="78" t="s">
        <v>53</v>
      </c>
      <c r="K16" s="84">
        <f>(9.81*180/PI())*((E3+E25-AB12-AB24)*(AB28/1000))/((AB26*180/PI())-(E3+E25-AB12-AB24)*9.81*AB28/1000)</f>
        <v>1.9803830003399534</v>
      </c>
      <c r="L16" s="79" t="s">
        <v>44</v>
      </c>
      <c r="AA16" s="85" t="s">
        <v>59</v>
      </c>
      <c r="AB16" s="86">
        <f>1/(1/(0.5*AB22*1000*($E$24/1000)^2*(PI()/180))+1/AB15)</f>
        <v>524.2245143349755</v>
      </c>
      <c r="AC16" s="96" t="s">
        <v>41</v>
      </c>
    </row>
    <row r="17" spans="2:29" s="7" customFormat="1" ht="12" customHeight="1" thickBot="1">
      <c r="B17" s="29"/>
      <c r="C17" s="29"/>
      <c r="D17" s="44"/>
      <c r="E17" s="29"/>
      <c r="F17" s="29"/>
      <c r="G17" s="29"/>
      <c r="H17" s="29"/>
      <c r="I17" s="29"/>
      <c r="J17" s="29"/>
      <c r="K17" s="29"/>
      <c r="L17" s="29"/>
      <c r="N17" s="117" t="s">
        <v>64</v>
      </c>
      <c r="O17" s="101"/>
      <c r="P17" s="101"/>
      <c r="Q17" s="101"/>
      <c r="R17" s="101"/>
      <c r="S17" s="101"/>
      <c r="T17" s="101"/>
      <c r="U17" s="101"/>
      <c r="V17" s="101"/>
      <c r="W17" s="101"/>
      <c r="X17" s="101"/>
      <c r="Y17" s="101"/>
      <c r="Z17" s="101"/>
      <c r="AA17" s="85" t="s">
        <v>62</v>
      </c>
      <c r="AB17" s="110">
        <f>K18*0.175186662329416</f>
        <v>48.176332140589395</v>
      </c>
      <c r="AC17" s="96" t="s">
        <v>21</v>
      </c>
    </row>
    <row r="18" spans="1:29" s="7" customFormat="1" ht="12" customHeight="1" thickBot="1">
      <c r="A18" s="70" t="s">
        <v>7</v>
      </c>
      <c r="B18" s="71">
        <v>183</v>
      </c>
      <c r="C18" s="72" t="s">
        <v>3</v>
      </c>
      <c r="D18" s="24"/>
      <c r="E18" s="29"/>
      <c r="F18" s="26"/>
      <c r="G18" s="67">
        <v>197.5</v>
      </c>
      <c r="H18" s="68" t="s">
        <v>3</v>
      </c>
      <c r="I18" s="69" t="s">
        <v>7</v>
      </c>
      <c r="J18" s="44" t="s">
        <v>23</v>
      </c>
      <c r="K18" s="77">
        <f>'General data'!D12</f>
        <v>275</v>
      </c>
      <c r="L18" s="30" t="s">
        <v>20</v>
      </c>
      <c r="M18" s="1"/>
      <c r="N18" s="117"/>
      <c r="O18" s="101"/>
      <c r="P18" s="101"/>
      <c r="Q18" s="101"/>
      <c r="R18" s="101"/>
      <c r="S18" s="101"/>
      <c r="T18" s="101"/>
      <c r="U18" s="101"/>
      <c r="V18" s="101"/>
      <c r="W18" s="101"/>
      <c r="X18" s="101"/>
      <c r="Y18" s="101"/>
      <c r="Z18" s="101"/>
      <c r="AA18" s="85" t="s">
        <v>87</v>
      </c>
      <c r="AB18" s="110">
        <f>1/((1/K19)+(1/AB22))</f>
        <v>32.00580978069094</v>
      </c>
      <c r="AC18" s="96" t="s">
        <v>21</v>
      </c>
    </row>
    <row r="19" spans="1:30" ht="12" customHeight="1">
      <c r="A19" s="24" t="s">
        <v>6</v>
      </c>
      <c r="B19" s="24">
        <f>E27*D30/100</f>
        <v>177.74959935897436</v>
      </c>
      <c r="C19" s="25" t="s">
        <v>3</v>
      </c>
      <c r="D19" s="34"/>
      <c r="E19" s="37"/>
      <c r="F19" s="35"/>
      <c r="G19" s="28">
        <f>E27*F30/100</f>
        <v>202.75040064102566</v>
      </c>
      <c r="H19" s="27" t="s">
        <v>3</v>
      </c>
      <c r="I19" s="52" t="s">
        <v>6</v>
      </c>
      <c r="J19" s="44" t="s">
        <v>25</v>
      </c>
      <c r="K19" s="77">
        <f>AB17*AB23^2</f>
        <v>40.33442967640496</v>
      </c>
      <c r="L19" s="30" t="s">
        <v>21</v>
      </c>
      <c r="N19" s="117"/>
      <c r="O19" s="101"/>
      <c r="P19" s="101"/>
      <c r="Q19" s="101"/>
      <c r="R19" s="101"/>
      <c r="S19" s="101"/>
      <c r="T19" s="101"/>
      <c r="U19" s="101"/>
      <c r="V19" s="101"/>
      <c r="W19" s="101"/>
      <c r="X19" s="101"/>
      <c r="Y19" s="101"/>
      <c r="Z19" s="101"/>
      <c r="AA19" s="85" t="s">
        <v>90</v>
      </c>
      <c r="AB19" s="110">
        <f>K19</f>
        <v>40.33442967640496</v>
      </c>
      <c r="AC19" s="96" t="s">
        <v>21</v>
      </c>
      <c r="AD19" s="79"/>
    </row>
    <row r="20" spans="1:29" ht="12" customHeight="1">
      <c r="A20" s="24" t="s">
        <v>5</v>
      </c>
      <c r="B20" s="24">
        <f>B19-B18</f>
        <v>-5.250400641025635</v>
      </c>
      <c r="C20" s="25" t="s">
        <v>3</v>
      </c>
      <c r="D20" s="24"/>
      <c r="E20" s="29"/>
      <c r="F20" s="26"/>
      <c r="G20" s="28">
        <f>G19-G18</f>
        <v>5.250400641025664</v>
      </c>
      <c r="H20" s="27" t="s">
        <v>3</v>
      </c>
      <c r="I20" s="52" t="s">
        <v>5</v>
      </c>
      <c r="J20" s="44" t="s">
        <v>26</v>
      </c>
      <c r="K20" s="55">
        <f>(1/(2*PI()))*SQRT(2000*$AB18/($E25-$AB24))</f>
        <v>2.2492385712519156</v>
      </c>
      <c r="L20" s="30" t="s">
        <v>27</v>
      </c>
      <c r="N20" s="117"/>
      <c r="O20" s="101"/>
      <c r="P20" s="101"/>
      <c r="Q20" s="101"/>
      <c r="R20" s="101"/>
      <c r="S20" s="101"/>
      <c r="T20" s="101"/>
      <c r="U20" s="101"/>
      <c r="V20" s="101"/>
      <c r="W20" s="101"/>
      <c r="X20" s="101"/>
      <c r="Y20" s="101"/>
      <c r="Z20" s="101"/>
      <c r="AA20" s="85" t="s">
        <v>89</v>
      </c>
      <c r="AB20" s="110">
        <f>1/((1/AB19)+(1/AB22))</f>
        <v>32.00580978069094</v>
      </c>
      <c r="AC20" s="96" t="s">
        <v>21</v>
      </c>
    </row>
    <row r="21" spans="1:29" ht="12" customHeight="1">
      <c r="A21" s="24" t="s">
        <v>33</v>
      </c>
      <c r="B21" s="24">
        <f>((B20*9.81)/$AB23)/$AB17</f>
        <v>-1.168440562865121</v>
      </c>
      <c r="C21" s="25" t="s">
        <v>4</v>
      </c>
      <c r="D21" s="24"/>
      <c r="E21" s="29"/>
      <c r="F21" s="26"/>
      <c r="G21" s="28">
        <f>((G20*9.81)/$AB23)/$AB17</f>
        <v>1.1684405628651275</v>
      </c>
      <c r="H21" s="26" t="s">
        <v>4</v>
      </c>
      <c r="I21" s="26" t="s">
        <v>33</v>
      </c>
      <c r="J21" s="44" t="s">
        <v>40</v>
      </c>
      <c r="K21" s="75">
        <f>(((K19+AB22)*1000)/(AB24/2))^(0.5)/2/PI()</f>
        <v>12.842480167045338</v>
      </c>
      <c r="L21" s="30" t="s">
        <v>27</v>
      </c>
      <c r="M21" s="7"/>
      <c r="N21" s="117"/>
      <c r="O21" s="101"/>
      <c r="P21" s="101"/>
      <c r="Q21" s="101"/>
      <c r="R21" s="101"/>
      <c r="S21" s="101"/>
      <c r="T21" s="101"/>
      <c r="U21" s="101"/>
      <c r="V21" s="101"/>
      <c r="W21" s="101"/>
      <c r="X21" s="101"/>
      <c r="Y21" s="101"/>
      <c r="Z21" s="101"/>
      <c r="AA21" s="88" t="s">
        <v>43</v>
      </c>
      <c r="AB21" s="89">
        <f>'General data'!D14</f>
        <v>55</v>
      </c>
      <c r="AC21" s="90" t="s">
        <v>4</v>
      </c>
    </row>
    <row r="22" spans="2:29" s="7" customFormat="1" ht="12" customHeight="1">
      <c r="B22" s="29"/>
      <c r="C22" s="29"/>
      <c r="D22" s="44"/>
      <c r="E22" s="29"/>
      <c r="F22" s="29"/>
      <c r="G22" s="29"/>
      <c r="H22" s="29"/>
      <c r="I22" s="29"/>
      <c r="J22" s="29"/>
      <c r="K22" s="29"/>
      <c r="L22" s="29"/>
      <c r="N22" s="117"/>
      <c r="O22" s="101"/>
      <c r="P22" s="101"/>
      <c r="Q22" s="101"/>
      <c r="R22" s="101"/>
      <c r="S22" s="101"/>
      <c r="T22" s="101"/>
      <c r="U22" s="101"/>
      <c r="V22" s="101"/>
      <c r="W22" s="101"/>
      <c r="X22" s="101"/>
      <c r="Y22" s="101"/>
      <c r="Z22" s="101"/>
      <c r="AA22" s="85" t="s">
        <v>32</v>
      </c>
      <c r="AB22" s="110">
        <f>'General data'!D13</f>
        <v>155</v>
      </c>
      <c r="AC22" s="96" t="s">
        <v>21</v>
      </c>
    </row>
    <row r="23" spans="2:29" s="7" customFormat="1" ht="12" customHeight="1">
      <c r="B23" s="29"/>
      <c r="C23" s="29"/>
      <c r="D23" s="44"/>
      <c r="E23" s="29"/>
      <c r="F23" s="29"/>
      <c r="M23" s="1"/>
      <c r="N23" s="117"/>
      <c r="O23" s="101"/>
      <c r="P23" s="101"/>
      <c r="Q23" s="101"/>
      <c r="R23" s="101"/>
      <c r="S23" s="101"/>
      <c r="T23" s="101"/>
      <c r="U23" s="101"/>
      <c r="V23" s="101"/>
      <c r="W23" s="101"/>
      <c r="X23" s="101"/>
      <c r="Y23" s="101"/>
      <c r="Z23" s="101"/>
      <c r="AA23" s="85" t="s">
        <v>29</v>
      </c>
      <c r="AB23" s="110">
        <f>'General data'!D10</f>
        <v>0.915</v>
      </c>
      <c r="AC23" s="96" t="s">
        <v>24</v>
      </c>
    </row>
    <row r="24" spans="1:29" ht="12" customHeight="1">
      <c r="A24" s="33"/>
      <c r="B24" s="58"/>
      <c r="C24" s="59"/>
      <c r="D24" s="44" t="s">
        <v>1</v>
      </c>
      <c r="E24" s="44">
        <f>'General data'!D9</f>
        <v>1370</v>
      </c>
      <c r="F24" s="29" t="s">
        <v>4</v>
      </c>
      <c r="J24" s="2" t="s">
        <v>93</v>
      </c>
      <c r="K24" s="116">
        <f>AB3/(AB3+AB15)*100</f>
        <v>28.77159282164698</v>
      </c>
      <c r="L24" s="1" t="s">
        <v>10</v>
      </c>
      <c r="M24" s="4"/>
      <c r="N24" s="117"/>
      <c r="O24" s="101"/>
      <c r="P24" s="101"/>
      <c r="Q24" s="101"/>
      <c r="R24" s="101"/>
      <c r="S24" s="101"/>
      <c r="T24" s="101"/>
      <c r="U24" s="101"/>
      <c r="V24" s="101"/>
      <c r="W24" s="101"/>
      <c r="X24" s="101"/>
      <c r="Y24" s="101"/>
      <c r="Z24" s="101"/>
      <c r="AA24" s="85" t="s">
        <v>92</v>
      </c>
      <c r="AB24" s="110">
        <f>'General data'!D11</f>
        <v>60</v>
      </c>
      <c r="AC24" s="96" t="s">
        <v>3</v>
      </c>
    </row>
    <row r="25" spans="1:29" s="4" customFormat="1" ht="12" customHeight="1">
      <c r="A25" s="2"/>
      <c r="B25" s="36"/>
      <c r="C25" s="36"/>
      <c r="D25" s="44" t="s">
        <v>9</v>
      </c>
      <c r="E25" s="45">
        <f>B18+G18</f>
        <v>380.5</v>
      </c>
      <c r="F25" s="30" t="s">
        <v>3</v>
      </c>
      <c r="J25" s="2" t="s">
        <v>94</v>
      </c>
      <c r="K25" s="116">
        <f>100-K24</f>
        <v>71.22840717835302</v>
      </c>
      <c r="L25" s="3" t="s">
        <v>10</v>
      </c>
      <c r="N25" s="117"/>
      <c r="O25" s="101"/>
      <c r="P25" s="101"/>
      <c r="Q25" s="101"/>
      <c r="R25" s="101"/>
      <c r="S25" s="101"/>
      <c r="T25" s="101"/>
      <c r="U25" s="101"/>
      <c r="V25" s="101"/>
      <c r="W25" s="101"/>
      <c r="X25" s="101"/>
      <c r="Y25" s="101"/>
      <c r="Z25" s="101"/>
      <c r="AA25" s="85" t="s">
        <v>45</v>
      </c>
      <c r="AB25" s="86">
        <f>AB3+AB15</f>
        <v>927.4941819174499</v>
      </c>
      <c r="AC25" s="87" t="s">
        <v>41</v>
      </c>
    </row>
    <row r="26" spans="1:29" s="4" customFormat="1" ht="12" customHeight="1">
      <c r="A26" s="2"/>
      <c r="B26" s="36"/>
      <c r="C26" s="36"/>
      <c r="D26" s="44" t="s">
        <v>36</v>
      </c>
      <c r="E26" s="45">
        <f>E25*9.81</f>
        <v>3732.7050000000004</v>
      </c>
      <c r="F26" s="30" t="s">
        <v>35</v>
      </c>
      <c r="N26" s="117"/>
      <c r="O26" s="101"/>
      <c r="P26" s="101"/>
      <c r="Q26" s="101"/>
      <c r="R26" s="101"/>
      <c r="S26" s="101"/>
      <c r="T26" s="101"/>
      <c r="U26" s="101"/>
      <c r="V26" s="101"/>
      <c r="W26" s="101"/>
      <c r="X26" s="101"/>
      <c r="Y26" s="101"/>
      <c r="Z26" s="101"/>
      <c r="AA26" s="85" t="s">
        <v>46</v>
      </c>
      <c r="AB26" s="86">
        <f>AB4+AB16</f>
        <v>761.9558675540236</v>
      </c>
      <c r="AC26" s="87" t="s">
        <v>41</v>
      </c>
    </row>
    <row r="27" spans="1:29" s="4" customFormat="1" ht="12" customHeight="1">
      <c r="A27" s="2"/>
      <c r="B27" s="36"/>
      <c r="C27" s="36"/>
      <c r="D27" s="44" t="s">
        <v>48</v>
      </c>
      <c r="E27" s="45">
        <f>E25/G16*100</f>
        <v>60.97756410256411</v>
      </c>
      <c r="F27" s="30" t="s">
        <v>10</v>
      </c>
      <c r="N27" s="117"/>
      <c r="O27" s="101"/>
      <c r="P27" s="101"/>
      <c r="Q27" s="101"/>
      <c r="R27" s="101"/>
      <c r="S27" s="101"/>
      <c r="T27" s="101"/>
      <c r="U27" s="101"/>
      <c r="V27" s="101"/>
      <c r="W27" s="101"/>
      <c r="X27" s="101"/>
      <c r="Y27" s="101"/>
      <c r="Z27" s="101"/>
      <c r="AA27" s="88" t="s">
        <v>50</v>
      </c>
      <c r="AB27" s="89">
        <f>AB9+G14*((AB21-AB9)/B15)</f>
        <v>55</v>
      </c>
      <c r="AC27" s="90" t="s">
        <v>4</v>
      </c>
    </row>
    <row r="28" spans="1:29" s="39" customFormat="1" ht="12" customHeight="1">
      <c r="A28" s="38"/>
      <c r="C28" s="118" t="s">
        <v>10</v>
      </c>
      <c r="D28" s="119" t="s">
        <v>3</v>
      </c>
      <c r="E28" s="43"/>
      <c r="F28" s="118" t="s">
        <v>3</v>
      </c>
      <c r="G28" s="119" t="s">
        <v>10</v>
      </c>
      <c r="I28" s="50"/>
      <c r="AA28" s="88" t="s">
        <v>51</v>
      </c>
      <c r="AB28" s="89">
        <f>'General data'!C7-AB27</f>
        <v>295</v>
      </c>
      <c r="AC28" s="90" t="s">
        <v>4</v>
      </c>
    </row>
    <row r="29" spans="1:29" s="39" customFormat="1" ht="12" customHeight="1">
      <c r="A29" s="38"/>
      <c r="C29" s="118"/>
      <c r="D29" s="119"/>
      <c r="E29" s="43"/>
      <c r="F29" s="118"/>
      <c r="G29" s="119"/>
      <c r="I29" s="50"/>
      <c r="AA29" s="85"/>
      <c r="AB29" s="85"/>
      <c r="AC29" s="100"/>
    </row>
    <row r="30" spans="1:29" s="5" customFormat="1" ht="29.25">
      <c r="A30" s="2"/>
      <c r="B30" s="2"/>
      <c r="C30" s="56">
        <f>D30/$G$16*100</f>
        <v>46.71474358974359</v>
      </c>
      <c r="D30" s="57">
        <f>B9+B18</f>
        <v>291.5</v>
      </c>
      <c r="E30" s="51"/>
      <c r="F30" s="56">
        <f>G9+G18</f>
        <v>332.5</v>
      </c>
      <c r="G30" s="57">
        <f>F30/$G$16*100</f>
        <v>53.28525641025641</v>
      </c>
      <c r="H30" s="3"/>
      <c r="J30" s="2"/>
      <c r="K30" s="76"/>
      <c r="L30" s="3"/>
      <c r="AA30" s="85"/>
      <c r="AB30" s="87"/>
      <c r="AC30" s="87"/>
    </row>
    <row r="31" spans="1:29" s="5" customFormat="1" ht="114.75">
      <c r="A31" s="2"/>
      <c r="B31" s="2"/>
      <c r="C31" s="56" t="s">
        <v>13</v>
      </c>
      <c r="D31" s="57" t="s">
        <v>14</v>
      </c>
      <c r="E31" s="31"/>
      <c r="F31" s="56" t="s">
        <v>11</v>
      </c>
      <c r="G31" s="57" t="s">
        <v>12</v>
      </c>
      <c r="H31" s="3"/>
      <c r="J31" s="2"/>
      <c r="K31" s="76"/>
      <c r="L31" s="3"/>
      <c r="AA31" s="111"/>
      <c r="AB31" s="85"/>
      <c r="AC31" s="110"/>
    </row>
    <row r="32" spans="1:29" s="5" customFormat="1" ht="12" customHeight="1">
      <c r="A32" s="2"/>
      <c r="B32" s="2"/>
      <c r="C32" s="3"/>
      <c r="D32" s="13"/>
      <c r="E32" s="41"/>
      <c r="F32" s="41"/>
      <c r="G32" s="2"/>
      <c r="H32" s="3"/>
      <c r="J32" s="2"/>
      <c r="K32" s="76"/>
      <c r="L32" s="3"/>
      <c r="AA32" s="111"/>
      <c r="AB32" s="85"/>
      <c r="AC32" s="110"/>
    </row>
    <row r="33" spans="1:29" s="5" customFormat="1" ht="12.75">
      <c r="A33" s="2"/>
      <c r="B33" s="2"/>
      <c r="C33" s="3"/>
      <c r="D33" s="13"/>
      <c r="E33" s="41"/>
      <c r="F33" s="41"/>
      <c r="G33" s="13"/>
      <c r="H33" s="13"/>
      <c r="J33" s="2"/>
      <c r="K33" s="76"/>
      <c r="L33" s="3"/>
      <c r="AA33" s="111"/>
      <c r="AB33" s="85"/>
      <c r="AC33" s="110"/>
    </row>
    <row r="34" spans="1:29" s="5" customFormat="1" ht="12.75">
      <c r="A34" s="2"/>
      <c r="B34" s="2"/>
      <c r="C34" s="3"/>
      <c r="D34" s="13"/>
      <c r="E34" s="41"/>
      <c r="F34" s="41"/>
      <c r="G34" s="14"/>
      <c r="H34" s="14"/>
      <c r="J34" s="2"/>
      <c r="K34" s="76"/>
      <c r="L34" s="3"/>
      <c r="AA34" s="111"/>
      <c r="AB34" s="85"/>
      <c r="AC34" s="110"/>
    </row>
    <row r="35" spans="1:29" s="5" customFormat="1" ht="12.75">
      <c r="A35" s="2"/>
      <c r="B35" s="2"/>
      <c r="C35" s="3"/>
      <c r="D35" s="2"/>
      <c r="F35" s="6"/>
      <c r="G35" s="40"/>
      <c r="H35" s="40"/>
      <c r="J35" s="2"/>
      <c r="K35" s="76"/>
      <c r="L35" s="3"/>
      <c r="AA35" s="111"/>
      <c r="AB35" s="85"/>
      <c r="AC35" s="110"/>
    </row>
    <row r="36" spans="1:29" s="5" customFormat="1" ht="12.75">
      <c r="A36" s="2"/>
      <c r="B36" s="8"/>
      <c r="C36" s="9"/>
      <c r="D36" s="8"/>
      <c r="E36" s="10"/>
      <c r="F36" s="11"/>
      <c r="G36" s="2"/>
      <c r="H36" s="9"/>
      <c r="J36" s="2"/>
      <c r="K36" s="76"/>
      <c r="L36" s="3"/>
      <c r="AA36" s="111"/>
      <c r="AB36" s="85"/>
      <c r="AC36" s="110"/>
    </row>
    <row r="37" ht="12.75">
      <c r="E37" s="4"/>
    </row>
    <row r="38" spans="1:8" ht="12.75">
      <c r="A38" s="1"/>
      <c r="B38" s="1"/>
      <c r="C38" s="1"/>
      <c r="E38" s="4"/>
      <c r="H38" s="1"/>
    </row>
    <row r="39" spans="1:5" ht="12.75">
      <c r="A39" s="1"/>
      <c r="B39" s="1"/>
      <c r="C39" s="1"/>
      <c r="E39" s="4"/>
    </row>
    <row r="40" spans="1:8" ht="12.75">
      <c r="A40" s="1"/>
      <c r="B40" s="1"/>
      <c r="C40" s="1"/>
      <c r="H40" s="1"/>
    </row>
    <row r="41" spans="1:8" ht="12.75">
      <c r="A41" s="1"/>
      <c r="B41" s="1"/>
      <c r="C41" s="1"/>
      <c r="H41" s="1"/>
    </row>
    <row r="42" spans="1:8" ht="12.75">
      <c r="A42" s="1"/>
      <c r="B42" s="1"/>
      <c r="C42" s="1"/>
      <c r="H42" s="1"/>
    </row>
    <row r="43" spans="1:3" ht="12.75">
      <c r="A43" s="1"/>
      <c r="B43" s="1"/>
      <c r="C43" s="1"/>
    </row>
    <row r="44" spans="1:3" ht="12.75">
      <c r="A44" s="1"/>
      <c r="B44" s="1"/>
      <c r="C44" s="1"/>
    </row>
    <row r="45" spans="1:3" ht="12.75">
      <c r="A45" s="1"/>
      <c r="B45" s="1"/>
      <c r="C45" s="1"/>
    </row>
  </sheetData>
  <mergeCells count="6">
    <mergeCell ref="N3:N13"/>
    <mergeCell ref="N17:N27"/>
    <mergeCell ref="C28:C29"/>
    <mergeCell ref="D28:D29"/>
    <mergeCell ref="F28:F29"/>
    <mergeCell ref="G28:G29"/>
  </mergeCells>
  <hyperlinks>
    <hyperlink ref="H4" location="'General data'!A1" display="Fill in the General data worksheet"/>
  </hyperlink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D45"/>
  <sheetViews>
    <sheetView showGridLines="0" zoomScale="70" zoomScaleNormal="70" workbookViewId="0" topLeftCell="A1">
      <selection activeCell="A1" sqref="A1"/>
    </sheetView>
  </sheetViews>
  <sheetFormatPr defaultColWidth="9.140625" defaultRowHeight="12.75"/>
  <cols>
    <col min="1" max="1" width="24.7109375" style="2" bestFit="1" customWidth="1"/>
    <col min="2" max="2" width="6.7109375" style="2" customWidth="1"/>
    <col min="3" max="3" width="4.8515625" style="3" bestFit="1" customWidth="1"/>
    <col min="4" max="4" width="6.7109375" style="2" customWidth="1"/>
    <col min="5" max="6" width="6.7109375" style="1" customWidth="1"/>
    <col min="7" max="7" width="6.7109375" style="2" customWidth="1"/>
    <col min="8" max="8" width="4.140625" style="3" bestFit="1" customWidth="1"/>
    <col min="9" max="9" width="25.28125" style="5" bestFit="1" customWidth="1"/>
    <col min="10" max="10" width="21.28125" style="2" bestFit="1" customWidth="1"/>
    <col min="11" max="11" width="7.7109375" style="76" customWidth="1"/>
    <col min="12" max="12" width="8.57421875" style="3" bestFit="1" customWidth="1"/>
    <col min="13" max="26" width="5.7109375" style="1" customWidth="1"/>
    <col min="27" max="27" width="26.140625" style="87" customWidth="1"/>
    <col min="28" max="28" width="7.7109375" style="85" customWidth="1"/>
    <col min="29" max="29" width="7.421875" style="110" bestFit="1" customWidth="1"/>
    <col min="30" max="16384" width="9.140625" style="1" customWidth="1"/>
  </cols>
  <sheetData>
    <row r="1" spans="1:12" ht="12" customHeight="1">
      <c r="A1" s="49" t="s">
        <v>37</v>
      </c>
      <c r="J1" s="1"/>
      <c r="K1" s="1"/>
      <c r="L1" s="1"/>
    </row>
    <row r="2" spans="1:29" s="4" customFormat="1" ht="12" customHeight="1">
      <c r="A2" s="97" t="s">
        <v>60</v>
      </c>
      <c r="B2" s="2"/>
      <c r="C2" s="3"/>
      <c r="D2" s="13"/>
      <c r="E2" s="43"/>
      <c r="F2" s="42"/>
      <c r="G2" s="2"/>
      <c r="H2" s="93" t="s">
        <v>17</v>
      </c>
      <c r="I2" s="93"/>
      <c r="AA2" s="91" t="s">
        <v>55</v>
      </c>
      <c r="AB2" s="94"/>
      <c r="AC2" s="95"/>
    </row>
    <row r="3" spans="2:29" s="4" customFormat="1" ht="12" customHeight="1">
      <c r="B3" s="46"/>
      <c r="C3" s="15"/>
      <c r="D3" s="46" t="s">
        <v>8</v>
      </c>
      <c r="E3" s="47">
        <f>B9+G9</f>
        <v>269.5</v>
      </c>
      <c r="F3" s="15" t="s">
        <v>3</v>
      </c>
      <c r="G3" s="13"/>
      <c r="H3" s="99" t="s">
        <v>18</v>
      </c>
      <c r="I3" s="99"/>
      <c r="N3" s="117" t="s">
        <v>64</v>
      </c>
      <c r="O3" s="101"/>
      <c r="P3" s="101"/>
      <c r="Q3" s="101"/>
      <c r="R3" s="101"/>
      <c r="S3" s="101"/>
      <c r="T3" s="101"/>
      <c r="U3" s="101"/>
      <c r="V3" s="101"/>
      <c r="W3" s="101"/>
      <c r="X3" s="101"/>
      <c r="Y3" s="101"/>
      <c r="Z3" s="101"/>
      <c r="AA3" s="85" t="s">
        <v>56</v>
      </c>
      <c r="AB3" s="86">
        <f>(0.5*AB7*1000*($E$6/1000)^2)*(PI()/180)</f>
        <v>266.8548494657544</v>
      </c>
      <c r="AC3" s="96" t="s">
        <v>41</v>
      </c>
    </row>
    <row r="4" spans="1:29" s="4" customFormat="1" ht="12" customHeight="1">
      <c r="A4" s="13"/>
      <c r="B4" s="46"/>
      <c r="C4" s="15"/>
      <c r="D4" s="46" t="s">
        <v>34</v>
      </c>
      <c r="E4" s="47">
        <f>E3*9.81</f>
        <v>2643.795</v>
      </c>
      <c r="F4" s="15" t="s">
        <v>35</v>
      </c>
      <c r="G4" s="13"/>
      <c r="H4" s="98" t="s">
        <v>38</v>
      </c>
      <c r="I4" s="98"/>
      <c r="N4" s="117"/>
      <c r="O4" s="101"/>
      <c r="P4" s="101"/>
      <c r="Q4" s="101"/>
      <c r="R4" s="112" t="s">
        <v>85</v>
      </c>
      <c r="S4" s="101"/>
      <c r="T4" s="101"/>
      <c r="U4" s="101"/>
      <c r="V4" s="101"/>
      <c r="W4" s="101"/>
      <c r="X4" s="101"/>
      <c r="Y4" s="101"/>
      <c r="Z4" s="101"/>
      <c r="AA4" s="85" t="s">
        <v>57</v>
      </c>
      <c r="AB4" s="86">
        <f>1/(1/(0.5*AB10*1000*($E$6/1000)^2*(PI()/180))+1/AB3)</f>
        <v>237.73135321904803</v>
      </c>
      <c r="AC4" s="96" t="s">
        <v>41</v>
      </c>
    </row>
    <row r="5" spans="1:29" s="4" customFormat="1" ht="12" customHeight="1">
      <c r="A5" s="13"/>
      <c r="B5" s="46"/>
      <c r="C5" s="15"/>
      <c r="D5" s="46" t="s">
        <v>49</v>
      </c>
      <c r="E5" s="47">
        <f>E3/G16*100</f>
        <v>39.0296886314265</v>
      </c>
      <c r="F5" s="15" t="s">
        <v>10</v>
      </c>
      <c r="G5" s="13"/>
      <c r="H5" s="92" t="s">
        <v>19</v>
      </c>
      <c r="I5" s="92"/>
      <c r="N5" s="117"/>
      <c r="O5" s="101"/>
      <c r="P5" s="101"/>
      <c r="Q5" s="101"/>
      <c r="R5" s="101"/>
      <c r="S5" s="101"/>
      <c r="T5" s="101"/>
      <c r="U5" s="101"/>
      <c r="V5" s="101"/>
      <c r="W5" s="101"/>
      <c r="X5" s="101"/>
      <c r="Y5" s="101"/>
      <c r="Z5" s="101"/>
      <c r="AA5" s="85" t="s">
        <v>61</v>
      </c>
      <c r="AB5" s="110">
        <f>K9*0.175186662329416</f>
        <v>48.176332140589395</v>
      </c>
      <c r="AC5" s="96" t="s">
        <v>21</v>
      </c>
    </row>
    <row r="6" spans="2:29" s="12" customFormat="1" ht="12" customHeight="1">
      <c r="B6" s="17"/>
      <c r="C6" s="17"/>
      <c r="D6" s="46" t="s">
        <v>0</v>
      </c>
      <c r="E6" s="46">
        <f>'General data'!C9</f>
        <v>1290</v>
      </c>
      <c r="F6" s="15" t="s">
        <v>4</v>
      </c>
      <c r="G6" s="31"/>
      <c r="H6" s="14" t="s">
        <v>63</v>
      </c>
      <c r="I6" s="51"/>
      <c r="N6" s="117"/>
      <c r="O6" s="101"/>
      <c r="P6" s="101"/>
      <c r="Q6" s="101"/>
      <c r="R6" s="101"/>
      <c r="S6" s="101"/>
      <c r="T6" s="101"/>
      <c r="U6" s="101"/>
      <c r="V6" s="101"/>
      <c r="W6" s="101"/>
      <c r="X6" s="101"/>
      <c r="Y6" s="101"/>
      <c r="Z6" s="101"/>
      <c r="AA6" s="85" t="s">
        <v>86</v>
      </c>
      <c r="AB6" s="110">
        <f>1/((1/K10)+(1/AB10))</f>
        <v>16.370414274845583</v>
      </c>
      <c r="AC6" s="96" t="s">
        <v>21</v>
      </c>
    </row>
    <row r="7" spans="2:29" s="31" customFormat="1" ht="12" customHeight="1">
      <c r="B7" s="17"/>
      <c r="C7" s="17"/>
      <c r="D7" s="48"/>
      <c r="E7" s="17"/>
      <c r="F7" s="16"/>
      <c r="I7" s="51"/>
      <c r="N7" s="117"/>
      <c r="O7" s="101"/>
      <c r="P7" s="101"/>
      <c r="Q7" s="101"/>
      <c r="R7" s="101"/>
      <c r="S7" s="101"/>
      <c r="T7" s="101"/>
      <c r="U7" s="101"/>
      <c r="V7" s="101"/>
      <c r="W7" s="101"/>
      <c r="X7" s="101"/>
      <c r="Y7" s="101"/>
      <c r="Z7" s="101"/>
      <c r="AA7" s="85" t="s">
        <v>88</v>
      </c>
      <c r="AB7" s="110">
        <f>K10</f>
        <v>18.375886806065303</v>
      </c>
      <c r="AC7" s="96" t="s">
        <v>21</v>
      </c>
    </row>
    <row r="8" spans="2:29" s="7" customFormat="1" ht="12" customHeight="1" thickBot="1">
      <c r="B8" s="18"/>
      <c r="C8" s="18"/>
      <c r="D8" s="46"/>
      <c r="E8" s="18"/>
      <c r="F8" s="18"/>
      <c r="G8" s="18"/>
      <c r="H8" s="18"/>
      <c r="I8" s="54"/>
      <c r="J8" s="18"/>
      <c r="K8" s="18"/>
      <c r="L8" s="18"/>
      <c r="N8" s="117"/>
      <c r="O8" s="101"/>
      <c r="P8" s="101"/>
      <c r="Q8" s="101"/>
      <c r="R8" s="101"/>
      <c r="S8" s="101"/>
      <c r="T8" s="101"/>
      <c r="U8" s="101"/>
      <c r="V8" s="101"/>
      <c r="W8" s="101"/>
      <c r="X8" s="101"/>
      <c r="Y8" s="101"/>
      <c r="Z8" s="101"/>
      <c r="AA8" s="85" t="s">
        <v>89</v>
      </c>
      <c r="AB8" s="110">
        <f>1/((1/AB7)+(1/AB10))</f>
        <v>16.370414274845583</v>
      </c>
      <c r="AC8" s="96" t="s">
        <v>21</v>
      </c>
    </row>
    <row r="9" spans="1:29" ht="12" customHeight="1" thickBot="1">
      <c r="A9" s="61" t="s">
        <v>7</v>
      </c>
      <c r="B9" s="62">
        <v>125.5</v>
      </c>
      <c r="C9" s="63" t="s">
        <v>3</v>
      </c>
      <c r="D9" s="19"/>
      <c r="E9" s="18"/>
      <c r="F9" s="21"/>
      <c r="G9" s="64">
        <v>144</v>
      </c>
      <c r="H9" s="65" t="s">
        <v>3</v>
      </c>
      <c r="I9" s="66" t="s">
        <v>7</v>
      </c>
      <c r="J9" s="46" t="s">
        <v>23</v>
      </c>
      <c r="K9" s="73">
        <f>'General data'!C12</f>
        <v>275</v>
      </c>
      <c r="L9" s="15" t="s">
        <v>20</v>
      </c>
      <c r="N9" s="117"/>
      <c r="O9" s="101"/>
      <c r="P9" s="101"/>
      <c r="Q9" s="101"/>
      <c r="R9" s="101"/>
      <c r="S9" s="101"/>
      <c r="T9" s="101"/>
      <c r="U9" s="101"/>
      <c r="V9" s="101"/>
      <c r="W9" s="101"/>
      <c r="X9" s="101"/>
      <c r="Y9" s="101"/>
      <c r="Z9" s="101"/>
      <c r="AA9" s="88" t="s">
        <v>42</v>
      </c>
      <c r="AB9" s="89">
        <f>'General data'!C14</f>
        <v>55</v>
      </c>
      <c r="AC9" s="90" t="s">
        <v>4</v>
      </c>
    </row>
    <row r="10" spans="1:29" ht="12" customHeight="1">
      <c r="A10" s="19" t="s">
        <v>6</v>
      </c>
      <c r="B10" s="19">
        <f>E5*D30/100</f>
        <v>131.33490224475017</v>
      </c>
      <c r="C10" s="20" t="s">
        <v>3</v>
      </c>
      <c r="D10" s="19"/>
      <c r="E10" s="18"/>
      <c r="F10" s="21"/>
      <c r="G10" s="23">
        <f>E5*F30/100</f>
        <v>138.16509775524983</v>
      </c>
      <c r="H10" s="22" t="s">
        <v>3</v>
      </c>
      <c r="I10" s="53" t="s">
        <v>6</v>
      </c>
      <c r="J10" s="46" t="s">
        <v>25</v>
      </c>
      <c r="K10" s="73">
        <f>AB5*AB11^2</f>
        <v>18.375886806065303</v>
      </c>
      <c r="L10" s="15" t="s">
        <v>21</v>
      </c>
      <c r="N10" s="117"/>
      <c r="O10" s="101"/>
      <c r="P10" s="101"/>
      <c r="Q10" s="101"/>
      <c r="R10" s="101"/>
      <c r="S10" s="101"/>
      <c r="T10" s="101"/>
      <c r="U10" s="101"/>
      <c r="V10" s="101"/>
      <c r="W10" s="101"/>
      <c r="X10" s="101"/>
      <c r="Y10" s="101"/>
      <c r="Z10" s="101"/>
      <c r="AA10" s="85" t="s">
        <v>31</v>
      </c>
      <c r="AB10" s="110">
        <f>'General data'!C13</f>
        <v>150</v>
      </c>
      <c r="AC10" s="96" t="s">
        <v>21</v>
      </c>
    </row>
    <row r="11" spans="1:29" ht="12" customHeight="1">
      <c r="A11" s="19" t="s">
        <v>5</v>
      </c>
      <c r="B11" s="19">
        <f>B10-B9</f>
        <v>5.834902244750168</v>
      </c>
      <c r="C11" s="20" t="s">
        <v>3</v>
      </c>
      <c r="D11" s="19"/>
      <c r="E11" s="18"/>
      <c r="F11" s="21"/>
      <c r="G11" s="23">
        <f>G10-G9</f>
        <v>-5.834902244750168</v>
      </c>
      <c r="H11" s="22" t="s">
        <v>3</v>
      </c>
      <c r="I11" s="53" t="s">
        <v>5</v>
      </c>
      <c r="J11" s="46" t="s">
        <v>26</v>
      </c>
      <c r="K11" s="60">
        <f>(1/(2*PI()))*SQRT(2000*$AB6/($E3-$AB12))</f>
        <v>1.9896328867327364</v>
      </c>
      <c r="L11" s="15" t="s">
        <v>27</v>
      </c>
      <c r="N11" s="117"/>
      <c r="O11" s="101"/>
      <c r="P11" s="101"/>
      <c r="Q11" s="101"/>
      <c r="R11" s="101"/>
      <c r="S11" s="101"/>
      <c r="T11" s="101"/>
      <c r="U11" s="101"/>
      <c r="V11" s="101"/>
      <c r="W11" s="101"/>
      <c r="X11" s="101"/>
      <c r="Y11" s="101"/>
      <c r="Z11" s="101"/>
      <c r="AA11" s="85" t="s">
        <v>28</v>
      </c>
      <c r="AB11" s="110">
        <f>'General data'!C10</f>
        <v>0.6176</v>
      </c>
      <c r="AC11" s="96" t="s">
        <v>24</v>
      </c>
    </row>
    <row r="12" spans="1:29" s="7" customFormat="1" ht="12" customHeight="1">
      <c r="A12" s="19" t="s">
        <v>33</v>
      </c>
      <c r="B12" s="19">
        <f>((B11*9.81)/$AB11)/$AB5</f>
        <v>1.9238073170379244</v>
      </c>
      <c r="C12" s="20" t="s">
        <v>4</v>
      </c>
      <c r="D12" s="19"/>
      <c r="E12" s="18"/>
      <c r="F12" s="21"/>
      <c r="G12" s="23">
        <f>((G11*9.81)/$AB11)/$AB5</f>
        <v>-1.9238073170379244</v>
      </c>
      <c r="H12" s="22" t="s">
        <v>4</v>
      </c>
      <c r="I12" s="53" t="s">
        <v>33</v>
      </c>
      <c r="J12" s="46" t="s">
        <v>40</v>
      </c>
      <c r="K12" s="60">
        <f>(((K10+AB10)*1000)/(AB12/2))^(0.5)/2/PI()</f>
        <v>11.92338184269981</v>
      </c>
      <c r="L12" s="15" t="s">
        <v>27</v>
      </c>
      <c r="N12" s="117"/>
      <c r="O12" s="101"/>
      <c r="P12" s="101"/>
      <c r="Q12" s="101"/>
      <c r="R12" s="101"/>
      <c r="S12" s="101"/>
      <c r="T12" s="101"/>
      <c r="U12" s="101"/>
      <c r="V12" s="101"/>
      <c r="W12" s="101"/>
      <c r="X12" s="101"/>
      <c r="Y12" s="101"/>
      <c r="Z12" s="101"/>
      <c r="AA12" s="85" t="s">
        <v>91</v>
      </c>
      <c r="AB12" s="110">
        <f>'General data'!C11</f>
        <v>60</v>
      </c>
      <c r="AC12" s="96" t="s">
        <v>3</v>
      </c>
    </row>
    <row r="13" spans="1:26" s="7" customFormat="1" ht="12" customHeight="1">
      <c r="A13" s="13"/>
      <c r="B13" s="18"/>
      <c r="C13" s="18"/>
      <c r="D13" s="46"/>
      <c r="E13" s="18"/>
      <c r="F13" s="18"/>
      <c r="G13" s="18"/>
      <c r="H13" s="18"/>
      <c r="I13" s="18"/>
      <c r="J13" s="18"/>
      <c r="K13" s="18"/>
      <c r="L13" s="18"/>
      <c r="N13" s="117"/>
      <c r="O13" s="101"/>
      <c r="P13" s="101"/>
      <c r="Q13" s="101"/>
      <c r="R13" s="101"/>
      <c r="S13" s="101"/>
      <c r="T13" s="101"/>
      <c r="U13" s="101"/>
      <c r="V13" s="101"/>
      <c r="W13" s="101"/>
      <c r="X13" s="101"/>
      <c r="Y13" s="101"/>
      <c r="Z13" s="101"/>
    </row>
    <row r="14" spans="4:12" s="7" customFormat="1" ht="12" customHeight="1">
      <c r="D14" s="13"/>
      <c r="F14" s="32"/>
      <c r="G14" s="40">
        <f>((E25/G16)*B15)</f>
        <v>1341.3468501086168</v>
      </c>
      <c r="H14" s="40" t="s">
        <v>4</v>
      </c>
      <c r="I14" s="14" t="s">
        <v>54</v>
      </c>
      <c r="J14" s="13" t="s">
        <v>39</v>
      </c>
      <c r="K14" s="74">
        <f>K20/K11</f>
        <v>1.0651799611474517</v>
      </c>
      <c r="L14" s="14" t="s">
        <v>24</v>
      </c>
    </row>
    <row r="15" spans="1:29" s="7" customFormat="1" ht="12" customHeight="1">
      <c r="A15" s="13" t="s">
        <v>2</v>
      </c>
      <c r="B15" s="13">
        <f>'General data'!C3</f>
        <v>2200</v>
      </c>
      <c r="C15" s="14" t="s">
        <v>4</v>
      </c>
      <c r="D15" s="13"/>
      <c r="G15" s="13">
        <f>((((E24-E6)/2)*(B9+G9)+E6*G9+E24*G18)/G16)-(E24/2)</f>
        <v>16.288921071687128</v>
      </c>
      <c r="H15" s="40" t="s">
        <v>4</v>
      </c>
      <c r="I15" s="14" t="s">
        <v>15</v>
      </c>
      <c r="J15" s="78" t="s">
        <v>52</v>
      </c>
      <c r="K15" s="84">
        <f>(9.81*180/PI())*((E3+E25-AB12-AB24)*(AB28/1000))/((AB25*180/PI())-(E3+E25-AB12-AB24)*9.81*AB28/1000)</f>
        <v>1.8371396248707936</v>
      </c>
      <c r="L15" s="79" t="s">
        <v>44</v>
      </c>
      <c r="AA15" s="85" t="s">
        <v>58</v>
      </c>
      <c r="AB15" s="86">
        <f>(0.5*AB19*1000*($E$24/1000)^2)*(PI()/180)</f>
        <v>660.6393324516955</v>
      </c>
      <c r="AC15" s="96" t="s">
        <v>41</v>
      </c>
    </row>
    <row r="16" spans="4:29" s="7" customFormat="1" ht="12" customHeight="1">
      <c r="D16" s="13"/>
      <c r="G16" s="13">
        <f>B9+G9+G18+B18</f>
        <v>690.5</v>
      </c>
      <c r="H16" s="40" t="s">
        <v>3</v>
      </c>
      <c r="I16" s="14" t="s">
        <v>16</v>
      </c>
      <c r="J16" s="78" t="s">
        <v>53</v>
      </c>
      <c r="K16" s="84">
        <f>(9.81*180/PI())*((E3+E25-AB12-AB24)*(AB28/1000))/((AB26*180/PI())-(E3+E25-AB12-AB24)*9.81*AB28/1000)</f>
        <v>2.25195369303597</v>
      </c>
      <c r="L16" s="79" t="s">
        <v>44</v>
      </c>
      <c r="AA16" s="85" t="s">
        <v>59</v>
      </c>
      <c r="AB16" s="86">
        <f>1/(1/(0.5*AB22*1000*($E$24/1000)^2*(PI()/180))+1/AB15)</f>
        <v>524.2245143349755</v>
      </c>
      <c r="AC16" s="96" t="s">
        <v>41</v>
      </c>
    </row>
    <row r="17" spans="2:29" s="7" customFormat="1" ht="12" customHeight="1" thickBot="1">
      <c r="B17" s="29"/>
      <c r="C17" s="29"/>
      <c r="D17" s="44"/>
      <c r="E17" s="29"/>
      <c r="F17" s="29"/>
      <c r="G17" s="29"/>
      <c r="H17" s="29"/>
      <c r="I17" s="29"/>
      <c r="J17" s="29"/>
      <c r="K17" s="29"/>
      <c r="L17" s="29"/>
      <c r="N17" s="117" t="s">
        <v>64</v>
      </c>
      <c r="O17" s="101"/>
      <c r="P17" s="101"/>
      <c r="Q17" s="101"/>
      <c r="R17" s="101"/>
      <c r="S17" s="101"/>
      <c r="T17" s="101"/>
      <c r="U17" s="101"/>
      <c r="V17" s="101"/>
      <c r="W17" s="101"/>
      <c r="X17" s="101"/>
      <c r="Y17" s="101"/>
      <c r="Z17" s="101"/>
      <c r="AA17" s="85" t="s">
        <v>62</v>
      </c>
      <c r="AB17" s="110">
        <f>K18*0.175186662329416</f>
        <v>48.176332140589395</v>
      </c>
      <c r="AC17" s="96" t="s">
        <v>21</v>
      </c>
    </row>
    <row r="18" spans="1:29" s="7" customFormat="1" ht="12" customHeight="1" thickBot="1">
      <c r="A18" s="70" t="s">
        <v>7</v>
      </c>
      <c r="B18" s="71">
        <v>211</v>
      </c>
      <c r="C18" s="72" t="s">
        <v>3</v>
      </c>
      <c r="D18" s="24"/>
      <c r="E18" s="29"/>
      <c r="F18" s="26"/>
      <c r="G18" s="67">
        <v>210</v>
      </c>
      <c r="H18" s="68" t="s">
        <v>3</v>
      </c>
      <c r="I18" s="69" t="s">
        <v>7</v>
      </c>
      <c r="J18" s="44" t="s">
        <v>23</v>
      </c>
      <c r="K18" s="77">
        <f>'General data'!D12</f>
        <v>275</v>
      </c>
      <c r="L18" s="30" t="s">
        <v>20</v>
      </c>
      <c r="M18" s="1"/>
      <c r="N18" s="117"/>
      <c r="O18" s="101"/>
      <c r="P18" s="101"/>
      <c r="Q18" s="101"/>
      <c r="R18" s="101"/>
      <c r="S18" s="101"/>
      <c r="T18" s="101"/>
      <c r="U18" s="101"/>
      <c r="V18" s="101"/>
      <c r="W18" s="101"/>
      <c r="X18" s="101"/>
      <c r="Y18" s="101"/>
      <c r="Z18" s="101"/>
      <c r="AA18" s="85" t="s">
        <v>87</v>
      </c>
      <c r="AB18" s="110">
        <f>1/((1/K19)+(1/AB22))</f>
        <v>32.00580978069094</v>
      </c>
      <c r="AC18" s="96" t="s">
        <v>21</v>
      </c>
    </row>
    <row r="19" spans="1:30" ht="12" customHeight="1">
      <c r="A19" s="24" t="s">
        <v>6</v>
      </c>
      <c r="B19" s="24">
        <f>E27*D30/100</f>
        <v>205.1650977552498</v>
      </c>
      <c r="C19" s="25" t="s">
        <v>3</v>
      </c>
      <c r="D19" s="34"/>
      <c r="E19" s="37"/>
      <c r="F19" s="35"/>
      <c r="G19" s="28">
        <f>E27*F30/100</f>
        <v>215.83490224475017</v>
      </c>
      <c r="H19" s="27" t="s">
        <v>3</v>
      </c>
      <c r="I19" s="52" t="s">
        <v>6</v>
      </c>
      <c r="J19" s="44" t="s">
        <v>25</v>
      </c>
      <c r="K19" s="77">
        <f>AB17*AB23^2</f>
        <v>40.33442967640496</v>
      </c>
      <c r="L19" s="30" t="s">
        <v>21</v>
      </c>
      <c r="N19" s="117"/>
      <c r="O19" s="101"/>
      <c r="P19" s="101"/>
      <c r="Q19" s="101"/>
      <c r="R19" s="101"/>
      <c r="S19" s="101"/>
      <c r="T19" s="101"/>
      <c r="U19" s="101"/>
      <c r="V19" s="101"/>
      <c r="W19" s="101"/>
      <c r="X19" s="101"/>
      <c r="Y19" s="101"/>
      <c r="Z19" s="101"/>
      <c r="AA19" s="85" t="s">
        <v>90</v>
      </c>
      <c r="AB19" s="110">
        <f>K19</f>
        <v>40.33442967640496</v>
      </c>
      <c r="AC19" s="96" t="s">
        <v>21</v>
      </c>
      <c r="AD19" s="79"/>
    </row>
    <row r="20" spans="1:29" ht="12" customHeight="1">
      <c r="A20" s="24" t="s">
        <v>5</v>
      </c>
      <c r="B20" s="24">
        <f>B19-B18</f>
        <v>-5.834902244750197</v>
      </c>
      <c r="C20" s="25" t="s">
        <v>3</v>
      </c>
      <c r="D20" s="24"/>
      <c r="E20" s="29"/>
      <c r="F20" s="26"/>
      <c r="G20" s="28">
        <f>G19-G18</f>
        <v>5.834902244750168</v>
      </c>
      <c r="H20" s="27" t="s">
        <v>3</v>
      </c>
      <c r="I20" s="52" t="s">
        <v>5</v>
      </c>
      <c r="J20" s="44" t="s">
        <v>26</v>
      </c>
      <c r="K20" s="55">
        <f>(1/(2*PI()))*SQRT(2000*$AB18/($E25-$AB24))</f>
        <v>2.1193170809876682</v>
      </c>
      <c r="L20" s="30" t="s">
        <v>27</v>
      </c>
      <c r="N20" s="117"/>
      <c r="O20" s="101"/>
      <c r="P20" s="101"/>
      <c r="Q20" s="101"/>
      <c r="R20" s="101"/>
      <c r="S20" s="101"/>
      <c r="T20" s="101"/>
      <c r="U20" s="101"/>
      <c r="V20" s="101"/>
      <c r="W20" s="101"/>
      <c r="X20" s="101"/>
      <c r="Y20" s="101"/>
      <c r="Z20" s="101"/>
      <c r="AA20" s="85" t="s">
        <v>89</v>
      </c>
      <c r="AB20" s="110">
        <f>1/((1/AB19)+(1/AB22))</f>
        <v>32.00580978069094</v>
      </c>
      <c r="AC20" s="96" t="s">
        <v>21</v>
      </c>
    </row>
    <row r="21" spans="1:29" ht="12" customHeight="1">
      <c r="A21" s="24" t="s">
        <v>33</v>
      </c>
      <c r="B21" s="24">
        <f>((B20*9.81)/$AB23)/$AB17</f>
        <v>-1.2985173759591562</v>
      </c>
      <c r="C21" s="25" t="s">
        <v>4</v>
      </c>
      <c r="D21" s="24"/>
      <c r="E21" s="29"/>
      <c r="F21" s="26"/>
      <c r="G21" s="28">
        <f>((G20*9.81)/$AB23)/$AB17</f>
        <v>1.2985173759591497</v>
      </c>
      <c r="H21" s="26" t="s">
        <v>4</v>
      </c>
      <c r="I21" s="26" t="s">
        <v>33</v>
      </c>
      <c r="J21" s="44" t="s">
        <v>40</v>
      </c>
      <c r="K21" s="75">
        <f>(((K19+AB22)*1000)/(AB24/2))^(0.5)/2/PI()</f>
        <v>12.842480167045338</v>
      </c>
      <c r="L21" s="30" t="s">
        <v>27</v>
      </c>
      <c r="M21" s="7"/>
      <c r="N21" s="117"/>
      <c r="O21" s="101"/>
      <c r="P21" s="101"/>
      <c r="Q21" s="101"/>
      <c r="R21" s="101"/>
      <c r="S21" s="101"/>
      <c r="T21" s="101"/>
      <c r="U21" s="101"/>
      <c r="V21" s="101"/>
      <c r="W21" s="101"/>
      <c r="X21" s="101"/>
      <c r="Y21" s="101"/>
      <c r="Z21" s="101"/>
      <c r="AA21" s="88" t="s">
        <v>43</v>
      </c>
      <c r="AB21" s="89">
        <f>'General data'!D14</f>
        <v>55</v>
      </c>
      <c r="AC21" s="90" t="s">
        <v>4</v>
      </c>
    </row>
    <row r="22" spans="2:29" s="7" customFormat="1" ht="12" customHeight="1">
      <c r="B22" s="29"/>
      <c r="C22" s="29"/>
      <c r="D22" s="44"/>
      <c r="E22" s="29"/>
      <c r="F22" s="29"/>
      <c r="G22" s="29"/>
      <c r="H22" s="29"/>
      <c r="I22" s="29"/>
      <c r="J22" s="29"/>
      <c r="K22" s="29"/>
      <c r="L22" s="29"/>
      <c r="N22" s="117"/>
      <c r="O22" s="101"/>
      <c r="P22" s="101"/>
      <c r="Q22" s="101"/>
      <c r="R22" s="101"/>
      <c r="S22" s="101"/>
      <c r="T22" s="101"/>
      <c r="U22" s="101"/>
      <c r="V22" s="101"/>
      <c r="W22" s="101"/>
      <c r="X22" s="101"/>
      <c r="Y22" s="101"/>
      <c r="Z22" s="101"/>
      <c r="AA22" s="85" t="s">
        <v>32</v>
      </c>
      <c r="AB22" s="110">
        <f>'General data'!D13</f>
        <v>155</v>
      </c>
      <c r="AC22" s="96" t="s">
        <v>21</v>
      </c>
    </row>
    <row r="23" spans="2:29" s="7" customFormat="1" ht="12" customHeight="1">
      <c r="B23" s="29"/>
      <c r="C23" s="29"/>
      <c r="D23" s="44"/>
      <c r="E23" s="29"/>
      <c r="F23" s="29"/>
      <c r="M23" s="1"/>
      <c r="N23" s="117"/>
      <c r="O23" s="101"/>
      <c r="P23" s="101"/>
      <c r="Q23" s="101"/>
      <c r="R23" s="101"/>
      <c r="S23" s="101"/>
      <c r="T23" s="101"/>
      <c r="U23" s="101"/>
      <c r="V23" s="101"/>
      <c r="W23" s="101"/>
      <c r="X23" s="101"/>
      <c r="Y23" s="101"/>
      <c r="Z23" s="101"/>
      <c r="AA23" s="85" t="s">
        <v>29</v>
      </c>
      <c r="AB23" s="110">
        <f>'General data'!D10</f>
        <v>0.915</v>
      </c>
      <c r="AC23" s="96" t="s">
        <v>24</v>
      </c>
    </row>
    <row r="24" spans="1:29" ht="12" customHeight="1">
      <c r="A24" s="33"/>
      <c r="B24" s="58"/>
      <c r="C24" s="59"/>
      <c r="D24" s="44" t="s">
        <v>1</v>
      </c>
      <c r="E24" s="44">
        <f>'General data'!D9</f>
        <v>1370</v>
      </c>
      <c r="F24" s="29" t="s">
        <v>4</v>
      </c>
      <c r="J24" s="2" t="s">
        <v>93</v>
      </c>
      <c r="K24" s="116">
        <f>AB3/(AB3+AB15)*100</f>
        <v>28.77159282164698</v>
      </c>
      <c r="L24" s="1" t="s">
        <v>10</v>
      </c>
      <c r="M24" s="4"/>
      <c r="N24" s="117"/>
      <c r="O24" s="101"/>
      <c r="P24" s="101"/>
      <c r="Q24" s="101"/>
      <c r="R24" s="101"/>
      <c r="S24" s="101"/>
      <c r="T24" s="101"/>
      <c r="U24" s="101"/>
      <c r="V24" s="101"/>
      <c r="W24" s="101"/>
      <c r="X24" s="101"/>
      <c r="Y24" s="101"/>
      <c r="Z24" s="101"/>
      <c r="AA24" s="85" t="s">
        <v>92</v>
      </c>
      <c r="AB24" s="110">
        <f>'General data'!D11</f>
        <v>60</v>
      </c>
      <c r="AC24" s="96" t="s">
        <v>3</v>
      </c>
    </row>
    <row r="25" spans="1:29" s="4" customFormat="1" ht="12" customHeight="1">
      <c r="A25" s="2"/>
      <c r="B25" s="36"/>
      <c r="C25" s="36"/>
      <c r="D25" s="44" t="s">
        <v>9</v>
      </c>
      <c r="E25" s="45">
        <f>B18+G18</f>
        <v>421</v>
      </c>
      <c r="F25" s="30" t="s">
        <v>3</v>
      </c>
      <c r="J25" s="2" t="s">
        <v>94</v>
      </c>
      <c r="K25" s="116">
        <f>100-K24</f>
        <v>71.22840717835302</v>
      </c>
      <c r="L25" s="3" t="s">
        <v>10</v>
      </c>
      <c r="N25" s="117"/>
      <c r="O25" s="101"/>
      <c r="P25" s="101"/>
      <c r="Q25" s="101"/>
      <c r="R25" s="101"/>
      <c r="S25" s="101"/>
      <c r="T25" s="101"/>
      <c r="U25" s="101"/>
      <c r="V25" s="101"/>
      <c r="W25" s="101"/>
      <c r="X25" s="101"/>
      <c r="Y25" s="101"/>
      <c r="Z25" s="101"/>
      <c r="AA25" s="85" t="s">
        <v>45</v>
      </c>
      <c r="AB25" s="86">
        <f>AB3+AB15</f>
        <v>927.4941819174499</v>
      </c>
      <c r="AC25" s="87" t="s">
        <v>41</v>
      </c>
    </row>
    <row r="26" spans="1:29" s="4" customFormat="1" ht="12" customHeight="1">
      <c r="A26" s="2"/>
      <c r="B26" s="36"/>
      <c r="C26" s="36"/>
      <c r="D26" s="44" t="s">
        <v>36</v>
      </c>
      <c r="E26" s="45">
        <f>E25*9.81</f>
        <v>4130.01</v>
      </c>
      <c r="F26" s="30" t="s">
        <v>35</v>
      </c>
      <c r="N26" s="117"/>
      <c r="O26" s="101"/>
      <c r="P26" s="101"/>
      <c r="Q26" s="101"/>
      <c r="R26" s="101"/>
      <c r="S26" s="101"/>
      <c r="T26" s="101"/>
      <c r="U26" s="101"/>
      <c r="V26" s="101"/>
      <c r="W26" s="101"/>
      <c r="X26" s="101"/>
      <c r="Y26" s="101"/>
      <c r="Z26" s="101"/>
      <c r="AA26" s="85" t="s">
        <v>46</v>
      </c>
      <c r="AB26" s="86">
        <f>AB4+AB16</f>
        <v>761.9558675540236</v>
      </c>
      <c r="AC26" s="87" t="s">
        <v>41</v>
      </c>
    </row>
    <row r="27" spans="1:29" s="4" customFormat="1" ht="12" customHeight="1">
      <c r="A27" s="2"/>
      <c r="B27" s="36"/>
      <c r="C27" s="36"/>
      <c r="D27" s="44" t="s">
        <v>48</v>
      </c>
      <c r="E27" s="45">
        <f>E25/G16*100</f>
        <v>60.97031136857349</v>
      </c>
      <c r="F27" s="30" t="s">
        <v>10</v>
      </c>
      <c r="N27" s="117"/>
      <c r="O27" s="101"/>
      <c r="P27" s="101"/>
      <c r="Q27" s="101"/>
      <c r="R27" s="101"/>
      <c r="S27" s="101"/>
      <c r="T27" s="101"/>
      <c r="U27" s="101"/>
      <c r="V27" s="101"/>
      <c r="W27" s="101"/>
      <c r="X27" s="101"/>
      <c r="Y27" s="101"/>
      <c r="Z27" s="101"/>
      <c r="AA27" s="88" t="s">
        <v>50</v>
      </c>
      <c r="AB27" s="89">
        <f>AB9+G14*((AB21-AB9)/B15)</f>
        <v>55</v>
      </c>
      <c r="AC27" s="90" t="s">
        <v>4</v>
      </c>
    </row>
    <row r="28" spans="1:29" s="39" customFormat="1" ht="12" customHeight="1">
      <c r="A28" s="38"/>
      <c r="C28" s="118" t="s">
        <v>10</v>
      </c>
      <c r="D28" s="119" t="s">
        <v>3</v>
      </c>
      <c r="E28" s="43"/>
      <c r="F28" s="118" t="s">
        <v>3</v>
      </c>
      <c r="G28" s="119" t="s">
        <v>10</v>
      </c>
      <c r="I28" s="50"/>
      <c r="AA28" s="88" t="s">
        <v>51</v>
      </c>
      <c r="AB28" s="89">
        <f>'General data'!C7-AB27</f>
        <v>295</v>
      </c>
      <c r="AC28" s="90" t="s">
        <v>4</v>
      </c>
    </row>
    <row r="29" spans="1:29" s="39" customFormat="1" ht="12" customHeight="1">
      <c r="A29" s="38"/>
      <c r="C29" s="118"/>
      <c r="D29" s="119"/>
      <c r="E29" s="43"/>
      <c r="F29" s="118"/>
      <c r="G29" s="119"/>
      <c r="I29" s="50"/>
      <c r="AA29" s="85"/>
      <c r="AB29" s="85"/>
      <c r="AC29" s="100"/>
    </row>
    <row r="30" spans="1:29" s="5" customFormat="1" ht="29.25">
      <c r="A30" s="2"/>
      <c r="B30" s="2"/>
      <c r="C30" s="56">
        <f>D30/$G$16*100</f>
        <v>48.73280231716148</v>
      </c>
      <c r="D30" s="57">
        <f>B9+B18</f>
        <v>336.5</v>
      </c>
      <c r="E30" s="51"/>
      <c r="F30" s="56">
        <f>G9+G18</f>
        <v>354</v>
      </c>
      <c r="G30" s="57">
        <f>F30/$G$16*100</f>
        <v>51.26719768283853</v>
      </c>
      <c r="H30" s="3"/>
      <c r="J30" s="2"/>
      <c r="K30" s="76"/>
      <c r="L30" s="3"/>
      <c r="AA30" s="85"/>
      <c r="AB30" s="87"/>
      <c r="AC30" s="87"/>
    </row>
    <row r="31" spans="1:29" s="5" customFormat="1" ht="114.75">
      <c r="A31" s="2"/>
      <c r="B31" s="2"/>
      <c r="C31" s="56" t="s">
        <v>13</v>
      </c>
      <c r="D31" s="57" t="s">
        <v>14</v>
      </c>
      <c r="E31" s="31"/>
      <c r="F31" s="56" t="s">
        <v>11</v>
      </c>
      <c r="G31" s="57" t="s">
        <v>12</v>
      </c>
      <c r="H31" s="3"/>
      <c r="J31" s="2"/>
      <c r="K31" s="76"/>
      <c r="L31" s="3"/>
      <c r="AA31" s="111"/>
      <c r="AB31" s="85"/>
      <c r="AC31" s="110"/>
    </row>
    <row r="32" spans="1:29" s="5" customFormat="1" ht="12" customHeight="1">
      <c r="A32" s="2"/>
      <c r="B32" s="2"/>
      <c r="C32" s="3"/>
      <c r="D32" s="13"/>
      <c r="E32" s="41"/>
      <c r="F32" s="41"/>
      <c r="G32" s="2"/>
      <c r="H32" s="3"/>
      <c r="J32" s="2"/>
      <c r="K32" s="76"/>
      <c r="L32" s="3"/>
      <c r="AA32" s="111"/>
      <c r="AB32" s="85"/>
      <c r="AC32" s="110"/>
    </row>
    <row r="33" spans="1:29" s="5" customFormat="1" ht="12.75">
      <c r="A33" s="2"/>
      <c r="B33" s="2"/>
      <c r="C33" s="3"/>
      <c r="D33" s="13"/>
      <c r="E33" s="41"/>
      <c r="F33" s="41"/>
      <c r="G33" s="13"/>
      <c r="H33" s="13"/>
      <c r="J33" s="2"/>
      <c r="K33" s="76"/>
      <c r="L33" s="3"/>
      <c r="AA33" s="111"/>
      <c r="AB33" s="85"/>
      <c r="AC33" s="110"/>
    </row>
    <row r="34" spans="1:29" s="5" customFormat="1" ht="12.75">
      <c r="A34" s="2"/>
      <c r="B34" s="2"/>
      <c r="C34" s="3"/>
      <c r="D34" s="13"/>
      <c r="E34" s="41"/>
      <c r="F34" s="41"/>
      <c r="G34" s="14"/>
      <c r="H34" s="14"/>
      <c r="J34" s="2"/>
      <c r="K34" s="76"/>
      <c r="L34" s="3"/>
      <c r="AA34" s="111"/>
      <c r="AB34" s="85"/>
      <c r="AC34" s="110"/>
    </row>
    <row r="35" spans="1:29" s="5" customFormat="1" ht="12.75">
      <c r="A35" s="2"/>
      <c r="B35" s="2"/>
      <c r="C35" s="3"/>
      <c r="D35" s="2"/>
      <c r="F35" s="6"/>
      <c r="G35" s="40"/>
      <c r="H35" s="40"/>
      <c r="J35" s="2"/>
      <c r="K35" s="76"/>
      <c r="L35" s="3"/>
      <c r="AA35" s="111"/>
      <c r="AB35" s="85"/>
      <c r="AC35" s="110"/>
    </row>
    <row r="36" spans="1:29" s="5" customFormat="1" ht="12.75">
      <c r="A36" s="2"/>
      <c r="B36" s="8"/>
      <c r="C36" s="9"/>
      <c r="D36" s="8"/>
      <c r="E36" s="10"/>
      <c r="F36" s="11"/>
      <c r="G36" s="2"/>
      <c r="H36" s="9"/>
      <c r="J36" s="2"/>
      <c r="K36" s="76"/>
      <c r="L36" s="3"/>
      <c r="AA36" s="111"/>
      <c r="AB36" s="85"/>
      <c r="AC36" s="110"/>
    </row>
    <row r="37" ht="12.75">
      <c r="E37" s="4"/>
    </row>
    <row r="38" spans="1:8" ht="12.75">
      <c r="A38" s="1"/>
      <c r="B38" s="1"/>
      <c r="C38" s="1"/>
      <c r="E38" s="4"/>
      <c r="H38" s="1"/>
    </row>
    <row r="39" spans="1:5" ht="12.75">
      <c r="A39" s="1"/>
      <c r="B39" s="1"/>
      <c r="C39" s="1"/>
      <c r="E39" s="4"/>
    </row>
    <row r="40" spans="1:8" ht="12.75">
      <c r="A40" s="1"/>
      <c r="B40" s="1"/>
      <c r="C40" s="1"/>
      <c r="H40" s="1"/>
    </row>
    <row r="41" spans="1:8" ht="12.75">
      <c r="A41" s="1"/>
      <c r="B41" s="1"/>
      <c r="C41" s="1"/>
      <c r="H41" s="1"/>
    </row>
    <row r="42" spans="1:8" ht="12.75">
      <c r="A42" s="1"/>
      <c r="B42" s="1"/>
      <c r="C42" s="1"/>
      <c r="H42" s="1"/>
    </row>
    <row r="43" spans="1:3" ht="12.75">
      <c r="A43" s="1"/>
      <c r="B43" s="1"/>
      <c r="C43" s="1"/>
    </row>
    <row r="44" spans="1:3" ht="12.75">
      <c r="A44" s="1"/>
      <c r="B44" s="1"/>
      <c r="C44" s="1"/>
    </row>
    <row r="45" spans="1:3" ht="12.75">
      <c r="A45" s="1"/>
      <c r="B45" s="1"/>
      <c r="C45" s="1"/>
    </row>
  </sheetData>
  <mergeCells count="6">
    <mergeCell ref="N3:N13"/>
    <mergeCell ref="N17:N27"/>
    <mergeCell ref="C28:C29"/>
    <mergeCell ref="D28:D29"/>
    <mergeCell ref="F28:F29"/>
    <mergeCell ref="G28:G29"/>
  </mergeCells>
  <hyperlinks>
    <hyperlink ref="H4" location="'General data'!A1" display="Fill in the General data worksheet"/>
  </hyperlink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B2:O22"/>
  <sheetViews>
    <sheetView tabSelected="1" workbookViewId="0" topLeftCell="A1">
      <selection activeCell="A1" sqref="A1"/>
    </sheetView>
  </sheetViews>
  <sheetFormatPr defaultColWidth="9.140625" defaultRowHeight="12.75"/>
  <cols>
    <col min="1" max="1" width="2.7109375" style="80" customWidth="1"/>
    <col min="2" max="2" width="26.57421875" style="80" bestFit="1" customWidth="1"/>
    <col min="3" max="3" width="7.00390625" style="114" bestFit="1" customWidth="1"/>
    <col min="4" max="4" width="7.00390625" style="114" customWidth="1"/>
    <col min="5" max="5" width="6.00390625" style="80" bestFit="1" customWidth="1"/>
    <col min="6" max="16384" width="9.140625" style="80" customWidth="1"/>
  </cols>
  <sheetData>
    <row r="1" ht="13.5" thickBot="1"/>
    <row r="2" spans="2:15" ht="12.75">
      <c r="B2" s="125" t="s">
        <v>106</v>
      </c>
      <c r="C2" s="126"/>
      <c r="D2" s="128"/>
      <c r="G2" s="129" t="s">
        <v>108</v>
      </c>
      <c r="H2" s="129"/>
      <c r="I2" s="129"/>
      <c r="J2" s="129"/>
      <c r="K2" s="129"/>
      <c r="L2" s="129"/>
      <c r="M2" s="129"/>
      <c r="N2" s="129"/>
      <c r="O2" s="129"/>
    </row>
    <row r="3" spans="2:15" ht="13.5" thickBot="1">
      <c r="B3" s="82" t="s">
        <v>2</v>
      </c>
      <c r="C3" s="115">
        <v>2200</v>
      </c>
      <c r="D3" s="83" t="s">
        <v>4</v>
      </c>
      <c r="G3" s="129"/>
      <c r="H3" s="129"/>
      <c r="I3" s="129"/>
      <c r="J3" s="129"/>
      <c r="K3" s="129"/>
      <c r="L3" s="129"/>
      <c r="M3" s="129"/>
      <c r="N3" s="129"/>
      <c r="O3" s="129"/>
    </row>
    <row r="4" spans="7:15" ht="12.75">
      <c r="G4" s="129"/>
      <c r="H4" s="129"/>
      <c r="I4" s="129"/>
      <c r="J4" s="129"/>
      <c r="K4" s="129"/>
      <c r="L4" s="129"/>
      <c r="M4" s="129"/>
      <c r="N4" s="129"/>
      <c r="O4" s="129"/>
    </row>
    <row r="5" spans="2:15" ht="13.5" thickBot="1">
      <c r="B5" s="120"/>
      <c r="G5" s="129"/>
      <c r="H5" s="129"/>
      <c r="I5" s="129"/>
      <c r="J5" s="129"/>
      <c r="K5" s="129"/>
      <c r="L5" s="129"/>
      <c r="M5" s="129"/>
      <c r="N5" s="129"/>
      <c r="O5" s="129"/>
    </row>
    <row r="6" spans="2:15" ht="12.75">
      <c r="B6" s="125" t="s">
        <v>107</v>
      </c>
      <c r="C6" s="126"/>
      <c r="D6" s="126"/>
      <c r="E6" s="127"/>
      <c r="G6" s="129"/>
      <c r="H6" s="129"/>
      <c r="I6" s="129"/>
      <c r="J6" s="129"/>
      <c r="K6" s="129"/>
      <c r="L6" s="129"/>
      <c r="M6" s="129"/>
      <c r="N6" s="129"/>
      <c r="O6" s="129"/>
    </row>
    <row r="7" spans="2:15" ht="12.75">
      <c r="B7" s="113" t="s">
        <v>47</v>
      </c>
      <c r="C7" s="114">
        <v>350</v>
      </c>
      <c r="D7" s="80"/>
      <c r="E7" s="81" t="s">
        <v>4</v>
      </c>
      <c r="G7" s="129"/>
      <c r="H7" s="129"/>
      <c r="I7" s="129"/>
      <c r="J7" s="129"/>
      <c r="K7" s="129"/>
      <c r="L7" s="129"/>
      <c r="M7" s="129"/>
      <c r="N7" s="129"/>
      <c r="O7" s="129"/>
    </row>
    <row r="8" spans="2:15" ht="12.75">
      <c r="B8" s="113"/>
      <c r="C8" s="121" t="s">
        <v>73</v>
      </c>
      <c r="D8" s="121" t="s">
        <v>74</v>
      </c>
      <c r="E8" s="81"/>
      <c r="G8" s="129"/>
      <c r="H8" s="129"/>
      <c r="I8" s="129"/>
      <c r="J8" s="129"/>
      <c r="K8" s="129"/>
      <c r="L8" s="129"/>
      <c r="M8" s="129"/>
      <c r="N8" s="129"/>
      <c r="O8" s="129"/>
    </row>
    <row r="9" spans="2:15" ht="12.75">
      <c r="B9" s="113" t="s">
        <v>95</v>
      </c>
      <c r="C9" s="114">
        <v>1290</v>
      </c>
      <c r="D9" s="114">
        <v>1370</v>
      </c>
      <c r="E9" s="81" t="s">
        <v>4</v>
      </c>
      <c r="G9" s="129"/>
      <c r="H9" s="129"/>
      <c r="I9" s="129"/>
      <c r="J9" s="129"/>
      <c r="K9" s="129"/>
      <c r="L9" s="129"/>
      <c r="M9" s="129"/>
      <c r="N9" s="129"/>
      <c r="O9" s="129"/>
    </row>
    <row r="10" spans="2:15" ht="12.75">
      <c r="B10" s="113" t="s">
        <v>96</v>
      </c>
      <c r="C10" s="114">
        <v>0.6176</v>
      </c>
      <c r="D10" s="114">
        <v>0.915</v>
      </c>
      <c r="E10" s="81" t="s">
        <v>24</v>
      </c>
      <c r="G10" s="129"/>
      <c r="H10" s="129"/>
      <c r="I10" s="129"/>
      <c r="J10" s="129"/>
      <c r="K10" s="129"/>
      <c r="L10" s="129"/>
      <c r="M10" s="129"/>
      <c r="N10" s="129"/>
      <c r="O10" s="129"/>
    </row>
    <row r="11" spans="2:15" ht="12.75">
      <c r="B11" s="113" t="s">
        <v>97</v>
      </c>
      <c r="C11" s="114">
        <v>60</v>
      </c>
      <c r="D11" s="114">
        <v>60</v>
      </c>
      <c r="E11" s="81" t="s">
        <v>3</v>
      </c>
      <c r="G11" s="129"/>
      <c r="H11" s="129"/>
      <c r="I11" s="129"/>
      <c r="J11" s="129"/>
      <c r="K11" s="129"/>
      <c r="L11" s="129"/>
      <c r="M11" s="129"/>
      <c r="N11" s="129"/>
      <c r="O11" s="129"/>
    </row>
    <row r="12" spans="2:15" ht="12.75">
      <c r="B12" s="113" t="s">
        <v>23</v>
      </c>
      <c r="C12" s="114">
        <v>275</v>
      </c>
      <c r="D12" s="114">
        <v>275</v>
      </c>
      <c r="E12" s="81" t="s">
        <v>20</v>
      </c>
      <c r="G12" s="129"/>
      <c r="H12" s="129"/>
      <c r="I12" s="129"/>
      <c r="J12" s="129"/>
      <c r="K12" s="129"/>
      <c r="L12" s="129"/>
      <c r="M12" s="129"/>
      <c r="N12" s="129"/>
      <c r="O12" s="129"/>
    </row>
    <row r="13" spans="2:15" ht="12.75">
      <c r="B13" s="113" t="s">
        <v>30</v>
      </c>
      <c r="C13" s="114">
        <v>150</v>
      </c>
      <c r="D13" s="114">
        <v>155</v>
      </c>
      <c r="E13" s="81" t="s">
        <v>21</v>
      </c>
      <c r="G13" s="129"/>
      <c r="H13" s="129"/>
      <c r="I13" s="129"/>
      <c r="J13" s="129"/>
      <c r="K13" s="129"/>
      <c r="L13" s="129"/>
      <c r="M13" s="129"/>
      <c r="N13" s="129"/>
      <c r="O13" s="129"/>
    </row>
    <row r="14" spans="2:15" ht="13.5" thickBot="1">
      <c r="B14" s="82" t="s">
        <v>98</v>
      </c>
      <c r="C14" s="115">
        <v>55</v>
      </c>
      <c r="D14" s="115">
        <v>55</v>
      </c>
      <c r="E14" s="83" t="s">
        <v>4</v>
      </c>
      <c r="G14" s="129"/>
      <c r="H14" s="129"/>
      <c r="I14" s="129"/>
      <c r="J14" s="129"/>
      <c r="K14" s="129"/>
      <c r="L14" s="129"/>
      <c r="M14" s="129"/>
      <c r="N14" s="129"/>
      <c r="O14" s="129"/>
    </row>
    <row r="15" ht="12.75"/>
    <row r="16" ht="12.75">
      <c r="B16" s="124" t="s">
        <v>102</v>
      </c>
    </row>
    <row r="17" ht="12.75"/>
    <row r="18" spans="2:5" ht="25.5" customHeight="1">
      <c r="B18" s="122" t="s">
        <v>101</v>
      </c>
      <c r="C18" s="122"/>
      <c r="D18" s="122"/>
      <c r="E18" s="122"/>
    </row>
    <row r="19" spans="2:5" ht="180" customHeight="1">
      <c r="B19" s="122" t="s">
        <v>103</v>
      </c>
      <c r="C19" s="122"/>
      <c r="D19" s="122"/>
      <c r="E19" s="122"/>
    </row>
    <row r="20" spans="2:5" ht="92.25" customHeight="1">
      <c r="B20" s="122" t="s">
        <v>104</v>
      </c>
      <c r="C20" s="122"/>
      <c r="D20" s="122"/>
      <c r="E20" s="122"/>
    </row>
    <row r="21" spans="2:5" ht="54.75" customHeight="1">
      <c r="B21" s="122" t="s">
        <v>105</v>
      </c>
      <c r="C21" s="122"/>
      <c r="D21" s="122"/>
      <c r="E21" s="122"/>
    </row>
    <row r="22" spans="2:5" ht="25.5" customHeight="1">
      <c r="B22" s="123"/>
      <c r="C22" s="123"/>
      <c r="D22" s="123"/>
      <c r="E22" s="123"/>
    </row>
  </sheetData>
  <mergeCells count="6">
    <mergeCell ref="B22:E22"/>
    <mergeCell ref="G2:O14"/>
    <mergeCell ref="B18:E18"/>
    <mergeCell ref="B19:E19"/>
    <mergeCell ref="B20:E20"/>
    <mergeCell ref="B21:E21"/>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62"/>
  <sheetViews>
    <sheetView workbookViewId="0" topLeftCell="A1">
      <selection activeCell="A1" sqref="A1"/>
    </sheetView>
  </sheetViews>
  <sheetFormatPr defaultColWidth="9.140625" defaultRowHeight="12.75"/>
  <cols>
    <col min="1" max="1" width="10.140625" style="0" bestFit="1" customWidth="1"/>
    <col min="2" max="5" width="9.140625" style="102" customWidth="1"/>
    <col min="7" max="7" width="9.140625" style="102" customWidth="1"/>
  </cols>
  <sheetData>
    <row r="1" spans="1:13" ht="12.75">
      <c r="A1" s="109"/>
      <c r="D1" s="109" t="s">
        <v>73</v>
      </c>
      <c r="F1" s="102"/>
      <c r="K1" s="109" t="s">
        <v>74</v>
      </c>
      <c r="M1" s="102"/>
    </row>
    <row r="2" spans="1:13" ht="12.75">
      <c r="A2" s="102"/>
      <c r="D2" s="105" t="s">
        <v>71</v>
      </c>
      <c r="E2" s="107">
        <f>2up!E3-2up!AB12</f>
        <v>209.5</v>
      </c>
      <c r="F2" t="s">
        <v>3</v>
      </c>
      <c r="K2" s="105" t="s">
        <v>71</v>
      </c>
      <c r="L2" s="106">
        <f>2up!E25-2up!AB24</f>
        <v>361</v>
      </c>
      <c r="M2" t="s">
        <v>3</v>
      </c>
    </row>
    <row r="3" spans="1:13" ht="12.75">
      <c r="A3" s="102"/>
      <c r="D3" s="105" t="s">
        <v>25</v>
      </c>
      <c r="E3" s="107">
        <f>2up!K10*1000</f>
        <v>18375.886806065304</v>
      </c>
      <c r="F3" t="s">
        <v>72</v>
      </c>
      <c r="K3" s="105" t="s">
        <v>25</v>
      </c>
      <c r="L3">
        <f>2up!K19*1000</f>
        <v>40334.42967640496</v>
      </c>
      <c r="M3" t="s">
        <v>72</v>
      </c>
    </row>
    <row r="4" spans="1:13" ht="12.75">
      <c r="A4" s="102"/>
      <c r="D4" s="105" t="s">
        <v>67</v>
      </c>
      <c r="E4" s="105">
        <f>2*SQRT(E3*(E2/2))</f>
        <v>2774.7966721439902</v>
      </c>
      <c r="F4" t="s">
        <v>68</v>
      </c>
      <c r="K4" s="105" t="s">
        <v>67</v>
      </c>
      <c r="L4" s="105">
        <f>2*SQRT(L3*(L2/2))</f>
        <v>5396.430137263372</v>
      </c>
      <c r="M4" t="s">
        <v>68</v>
      </c>
    </row>
    <row r="5" spans="1:13" ht="12.75">
      <c r="A5" s="102"/>
      <c r="D5" s="105" t="s">
        <v>22</v>
      </c>
      <c r="E5" s="107">
        <f>2up!AB11</f>
        <v>0.6176</v>
      </c>
      <c r="F5" t="s">
        <v>24</v>
      </c>
      <c r="K5" s="105" t="s">
        <v>22</v>
      </c>
      <c r="L5" s="106">
        <f>2up!AB23</f>
        <v>0.915</v>
      </c>
      <c r="M5" t="s">
        <v>24</v>
      </c>
    </row>
    <row r="6" ht="12.75">
      <c r="B6" s="105"/>
    </row>
    <row r="7" spans="2:14" s="103" customFormat="1" ht="38.25">
      <c r="B7" s="103" t="s">
        <v>77</v>
      </c>
      <c r="C7" s="103" t="s">
        <v>66</v>
      </c>
      <c r="D7" s="103" t="s">
        <v>79</v>
      </c>
      <c r="E7" s="103" t="s">
        <v>78</v>
      </c>
      <c r="F7" s="103" t="s">
        <v>80</v>
      </c>
      <c r="G7" s="103" t="s">
        <v>75</v>
      </c>
      <c r="I7" s="103" t="s">
        <v>82</v>
      </c>
      <c r="J7" s="103" t="s">
        <v>66</v>
      </c>
      <c r="K7" s="103" t="s">
        <v>81</v>
      </c>
      <c r="L7" s="103" t="s">
        <v>83</v>
      </c>
      <c r="M7" s="103" t="s">
        <v>84</v>
      </c>
      <c r="N7" s="103" t="s">
        <v>76</v>
      </c>
    </row>
    <row r="8" spans="2:14" ht="12.75">
      <c r="B8" s="102" t="s">
        <v>65</v>
      </c>
      <c r="C8" s="102" t="s">
        <v>24</v>
      </c>
      <c r="D8" s="102" t="s">
        <v>68</v>
      </c>
      <c r="E8" s="102" t="s">
        <v>35</v>
      </c>
      <c r="F8" s="102" t="s">
        <v>65</v>
      </c>
      <c r="G8" s="102" t="s">
        <v>35</v>
      </c>
      <c r="I8" s="102" t="s">
        <v>65</v>
      </c>
      <c r="J8" s="102" t="s">
        <v>24</v>
      </c>
      <c r="K8" s="102" t="s">
        <v>68</v>
      </c>
      <c r="L8" s="102" t="s">
        <v>35</v>
      </c>
      <c r="M8" s="102" t="s">
        <v>65</v>
      </c>
      <c r="N8" s="102" t="s">
        <v>35</v>
      </c>
    </row>
    <row r="9" spans="1:20" s="102" customFormat="1" ht="12.75">
      <c r="A9" s="102" t="s">
        <v>70</v>
      </c>
      <c r="B9" s="102">
        <f aca="true" t="shared" si="0" ref="B9:B16">F9/$E$5</f>
        <v>1.2791450777202071</v>
      </c>
      <c r="C9" s="104">
        <v>0.4</v>
      </c>
      <c r="D9" s="102">
        <f aca="true" t="shared" si="1" ref="D9:D23">$E$4*C9</f>
        <v>1109.9186688575962</v>
      </c>
      <c r="E9" s="102">
        <f>D9*B9</f>
        <v>1419.7470019389589</v>
      </c>
      <c r="F9" s="102">
        <v>0.79</v>
      </c>
      <c r="G9" s="102">
        <f aca="true" t="shared" si="2" ref="G9:G23">E9/$E$5</f>
        <v>2298.8131508078995</v>
      </c>
      <c r="I9" s="102">
        <f aca="true" t="shared" si="3" ref="I9:I23">M9/$L$5</f>
        <v>0.8633879781420765</v>
      </c>
      <c r="J9" s="104">
        <v>0.4</v>
      </c>
      <c r="K9" s="102">
        <f aca="true" t="shared" si="4" ref="K9:K23">$L$4*J9</f>
        <v>2158.572054905349</v>
      </c>
      <c r="L9" s="102">
        <f>K9*I9</f>
        <v>1863.6851621587166</v>
      </c>
      <c r="M9" s="102">
        <v>0.79</v>
      </c>
      <c r="N9" s="102">
        <f aca="true" t="shared" si="5" ref="N9:N23">L9/$L$5</f>
        <v>2036.8143848729142</v>
      </c>
      <c r="P9">
        <v>-790</v>
      </c>
      <c r="Q9" s="102">
        <v>-1222.088630923748</v>
      </c>
      <c r="S9" s="102">
        <v>-0.79</v>
      </c>
      <c r="T9" s="102">
        <v>-1222.088630923748</v>
      </c>
    </row>
    <row r="10" spans="2:20" s="102" customFormat="1" ht="12.75">
      <c r="B10" s="102">
        <f t="shared" si="0"/>
        <v>0.8419689119170984</v>
      </c>
      <c r="C10" s="104">
        <v>0.6</v>
      </c>
      <c r="D10" s="102">
        <f t="shared" si="1"/>
        <v>1664.878003286394</v>
      </c>
      <c r="E10" s="102">
        <f aca="true" t="shared" si="6" ref="E10:E23">D10*B10</f>
        <v>1401.7755209017566</v>
      </c>
      <c r="F10" s="102">
        <v>0.52</v>
      </c>
      <c r="G10" s="102">
        <f t="shared" si="2"/>
        <v>2269.7142501647613</v>
      </c>
      <c r="I10" s="102">
        <f t="shared" si="3"/>
        <v>0.5683060109289617</v>
      </c>
      <c r="J10" s="104">
        <v>0.6</v>
      </c>
      <c r="K10" s="102">
        <f t="shared" si="4"/>
        <v>3237.858082358023</v>
      </c>
      <c r="L10" s="102">
        <f aca="true" t="shared" si="7" ref="L10:L23">K10*I10</f>
        <v>1840.0942107389856</v>
      </c>
      <c r="M10" s="102">
        <v>0.52</v>
      </c>
      <c r="N10" s="102">
        <f t="shared" si="5"/>
        <v>2011.031924304902</v>
      </c>
      <c r="P10">
        <v>-520</v>
      </c>
      <c r="Q10" s="102">
        <v>-1173.1019558445262</v>
      </c>
      <c r="S10" s="102">
        <v>-0.52</v>
      </c>
      <c r="T10" s="102">
        <v>-1173.1019558445262</v>
      </c>
    </row>
    <row r="11" spans="2:20" s="102" customFormat="1" ht="12.75">
      <c r="B11" s="102">
        <f t="shared" si="0"/>
        <v>0.6314766839378239</v>
      </c>
      <c r="C11" s="104">
        <v>0.7</v>
      </c>
      <c r="D11" s="102">
        <f t="shared" si="1"/>
        <v>1942.3576705007931</v>
      </c>
      <c r="E11" s="102">
        <f t="shared" si="6"/>
        <v>1226.5535807890371</v>
      </c>
      <c r="F11" s="102">
        <v>0.39</v>
      </c>
      <c r="G11" s="102">
        <f t="shared" si="2"/>
        <v>1985.9999688941662</v>
      </c>
      <c r="I11" s="102">
        <f t="shared" si="3"/>
        <v>0.4262295081967213</v>
      </c>
      <c r="J11" s="104">
        <v>0.7</v>
      </c>
      <c r="K11" s="102">
        <f t="shared" si="4"/>
        <v>3777.50109608436</v>
      </c>
      <c r="L11" s="102">
        <f t="shared" si="7"/>
        <v>1610.0824343966124</v>
      </c>
      <c r="M11" s="102">
        <v>0.39</v>
      </c>
      <c r="N11" s="102">
        <f t="shared" si="5"/>
        <v>1759.6529337667894</v>
      </c>
      <c r="P11">
        <v>-390</v>
      </c>
      <c r="Q11" s="102">
        <v>-1080.929659313885</v>
      </c>
      <c r="S11" s="102">
        <v>-0.39</v>
      </c>
      <c r="T11" s="102">
        <v>-1080.929659313885</v>
      </c>
    </row>
    <row r="12" spans="2:20" s="102" customFormat="1" ht="12.75">
      <c r="B12" s="102">
        <f t="shared" si="0"/>
        <v>0.4209844559585492</v>
      </c>
      <c r="C12" s="104">
        <v>0.8</v>
      </c>
      <c r="D12" s="102">
        <f t="shared" si="1"/>
        <v>2219.8373377151925</v>
      </c>
      <c r="E12" s="102">
        <f t="shared" si="6"/>
        <v>934.5170139345046</v>
      </c>
      <c r="F12" s="102">
        <v>0.26</v>
      </c>
      <c r="G12" s="102">
        <f t="shared" si="2"/>
        <v>1513.1428334431744</v>
      </c>
      <c r="I12" s="102">
        <f t="shared" si="3"/>
        <v>0.28415300546448086</v>
      </c>
      <c r="J12" s="104">
        <v>0.8</v>
      </c>
      <c r="K12" s="102">
        <f t="shared" si="4"/>
        <v>4317.144109810698</v>
      </c>
      <c r="L12" s="102">
        <f t="shared" si="7"/>
        <v>1226.7294738259907</v>
      </c>
      <c r="M12" s="102">
        <v>0.26</v>
      </c>
      <c r="N12" s="102">
        <f t="shared" si="5"/>
        <v>1340.6879495366018</v>
      </c>
      <c r="P12">
        <v>-260</v>
      </c>
      <c r="Q12" s="102">
        <v>-754.1369716143384</v>
      </c>
      <c r="S12" s="102">
        <v>-0.26</v>
      </c>
      <c r="T12" s="102">
        <v>-754.1369716143384</v>
      </c>
    </row>
    <row r="13" spans="2:20" s="102" customFormat="1" ht="12.75">
      <c r="B13" s="102">
        <f t="shared" si="0"/>
        <v>0.2104922279792746</v>
      </c>
      <c r="C13" s="104">
        <v>0.8</v>
      </c>
      <c r="D13" s="102">
        <f t="shared" si="1"/>
        <v>2219.8373377151925</v>
      </c>
      <c r="E13" s="102">
        <f t="shared" si="6"/>
        <v>467.2585069672523</v>
      </c>
      <c r="F13" s="102">
        <v>0.13</v>
      </c>
      <c r="G13" s="102">
        <f t="shared" si="2"/>
        <v>756.5714167215872</v>
      </c>
      <c r="I13" s="102">
        <f t="shared" si="3"/>
        <v>0.14207650273224043</v>
      </c>
      <c r="J13" s="104">
        <v>0.8</v>
      </c>
      <c r="K13" s="102">
        <f t="shared" si="4"/>
        <v>4317.144109810698</v>
      </c>
      <c r="L13" s="102">
        <f t="shared" si="7"/>
        <v>613.3647369129953</v>
      </c>
      <c r="M13" s="102">
        <v>0.13</v>
      </c>
      <c r="N13" s="102">
        <f t="shared" si="5"/>
        <v>670.3439747683009</v>
      </c>
      <c r="P13">
        <v>-130</v>
      </c>
      <c r="Q13" s="102">
        <v>-377.0684858071692</v>
      </c>
      <c r="S13" s="102">
        <v>-0.13</v>
      </c>
      <c r="T13" s="102">
        <v>-377.0684858071692</v>
      </c>
    </row>
    <row r="14" spans="2:20" s="102" customFormat="1" ht="12.75">
      <c r="B14" s="102">
        <f t="shared" si="0"/>
        <v>0.08419689119170984</v>
      </c>
      <c r="C14" s="104">
        <v>0.9</v>
      </c>
      <c r="D14" s="102">
        <f t="shared" si="1"/>
        <v>2497.3170049295913</v>
      </c>
      <c r="E14" s="102">
        <f t="shared" si="6"/>
        <v>210.2663281352635</v>
      </c>
      <c r="F14" s="102">
        <v>0.052</v>
      </c>
      <c r="G14" s="102">
        <f t="shared" si="2"/>
        <v>340.4571375247142</v>
      </c>
      <c r="I14" s="102">
        <f t="shared" si="3"/>
        <v>0.05683060109289617</v>
      </c>
      <c r="J14" s="104">
        <v>0.9</v>
      </c>
      <c r="K14" s="102">
        <f t="shared" si="4"/>
        <v>4856.787123537035</v>
      </c>
      <c r="L14" s="102">
        <f t="shared" si="7"/>
        <v>276.01413161084787</v>
      </c>
      <c r="M14" s="102">
        <v>0.052</v>
      </c>
      <c r="N14" s="102">
        <f t="shared" si="5"/>
        <v>301.6547886457354</v>
      </c>
      <c r="P14">
        <v>-52</v>
      </c>
      <c r="Q14" s="102">
        <v>-167.5859936920752</v>
      </c>
      <c r="S14" s="102">
        <v>-0.052</v>
      </c>
      <c r="T14" s="102">
        <v>-167.5859936920752</v>
      </c>
    </row>
    <row r="15" spans="2:20" s="102" customFormat="1" ht="12.75">
      <c r="B15" s="102">
        <f t="shared" si="0"/>
        <v>0.04857512953367875</v>
      </c>
      <c r="C15" s="104">
        <v>0.9</v>
      </c>
      <c r="D15" s="102">
        <f t="shared" si="1"/>
        <v>2497.3170049295913</v>
      </c>
      <c r="E15" s="102">
        <f t="shared" si="6"/>
        <v>121.30749700111355</v>
      </c>
      <c r="F15" s="102">
        <v>0.03</v>
      </c>
      <c r="G15" s="102">
        <f t="shared" si="2"/>
        <v>196.41757934118124</v>
      </c>
      <c r="I15" s="102">
        <f t="shared" si="3"/>
        <v>0.032786885245901634</v>
      </c>
      <c r="J15" s="104">
        <v>0.9</v>
      </c>
      <c r="K15" s="102">
        <f t="shared" si="4"/>
        <v>4856.787123537035</v>
      </c>
      <c r="L15" s="102">
        <f t="shared" si="7"/>
        <v>159.23892208318145</v>
      </c>
      <c r="M15" s="102">
        <v>0.03</v>
      </c>
      <c r="N15" s="102">
        <f t="shared" si="5"/>
        <v>174.03160883407807</v>
      </c>
      <c r="P15">
        <v>-30</v>
      </c>
      <c r="Q15" s="102">
        <v>-125.68949526905638</v>
      </c>
      <c r="S15" s="102">
        <v>-0.03</v>
      </c>
      <c r="T15" s="102">
        <v>-125.68949526905638</v>
      </c>
    </row>
    <row r="16" spans="2:20" s="102" customFormat="1" ht="12.75">
      <c r="B16" s="102">
        <f t="shared" si="0"/>
        <v>0</v>
      </c>
      <c r="C16" s="104">
        <v>0</v>
      </c>
      <c r="D16" s="102">
        <f t="shared" si="1"/>
        <v>0</v>
      </c>
      <c r="E16" s="102">
        <f t="shared" si="6"/>
        <v>0</v>
      </c>
      <c r="F16" s="102">
        <v>0</v>
      </c>
      <c r="G16" s="102">
        <f t="shared" si="2"/>
        <v>0</v>
      </c>
      <c r="I16" s="102">
        <f t="shared" si="3"/>
        <v>0</v>
      </c>
      <c r="J16" s="104">
        <v>0</v>
      </c>
      <c r="K16" s="102">
        <f t="shared" si="4"/>
        <v>0</v>
      </c>
      <c r="L16" s="102">
        <f t="shared" si="7"/>
        <v>0</v>
      </c>
      <c r="M16" s="102">
        <v>0</v>
      </c>
      <c r="N16" s="102">
        <f t="shared" si="5"/>
        <v>0</v>
      </c>
      <c r="P16">
        <v>0</v>
      </c>
      <c r="Q16" s="102">
        <v>0</v>
      </c>
      <c r="S16" s="102">
        <v>0</v>
      </c>
      <c r="T16" s="102">
        <v>0</v>
      </c>
    </row>
    <row r="17" spans="2:20" s="102" customFormat="1" ht="12.75">
      <c r="B17" s="102">
        <f aca="true" t="shared" si="8" ref="B17:B23">(F17/$E$5)</f>
        <v>-0.04857512953367875</v>
      </c>
      <c r="C17" s="104">
        <v>0.65</v>
      </c>
      <c r="D17" s="102">
        <f t="shared" si="1"/>
        <v>1803.6178368935937</v>
      </c>
      <c r="E17" s="102">
        <f t="shared" si="6"/>
        <v>-87.61097005635978</v>
      </c>
      <c r="F17" s="102">
        <v>-0.03</v>
      </c>
      <c r="G17" s="102">
        <f t="shared" si="2"/>
        <v>-141.85714063529755</v>
      </c>
      <c r="I17" s="102">
        <f t="shared" si="3"/>
        <v>-0.032786885245901634</v>
      </c>
      <c r="J17" s="104">
        <v>0.65</v>
      </c>
      <c r="K17" s="102">
        <f t="shared" si="4"/>
        <v>3507.6795892211917</v>
      </c>
      <c r="L17" s="102">
        <f t="shared" si="7"/>
        <v>-115.0058881711866</v>
      </c>
      <c r="M17" s="102">
        <v>-0.03</v>
      </c>
      <c r="N17" s="102">
        <f t="shared" si="5"/>
        <v>-125.68949526905638</v>
      </c>
      <c r="P17">
        <v>30</v>
      </c>
      <c r="Q17" s="102">
        <v>174.03160883407807</v>
      </c>
      <c r="S17" s="102">
        <v>0.03</v>
      </c>
      <c r="T17" s="102">
        <v>174.03160883407807</v>
      </c>
    </row>
    <row r="18" spans="2:20" s="102" customFormat="1" ht="12.75">
      <c r="B18" s="102">
        <f t="shared" si="8"/>
        <v>-0.08419689119170984</v>
      </c>
      <c r="C18" s="104">
        <v>0.5</v>
      </c>
      <c r="D18" s="102">
        <f t="shared" si="1"/>
        <v>1387.3983360719951</v>
      </c>
      <c r="E18" s="102">
        <f t="shared" si="6"/>
        <v>-116.81462674181306</v>
      </c>
      <c r="F18" s="102">
        <v>-0.052</v>
      </c>
      <c r="G18" s="102">
        <f t="shared" si="2"/>
        <v>-189.14285418039677</v>
      </c>
      <c r="I18" s="102">
        <f t="shared" si="3"/>
        <v>-0.05683060109289617</v>
      </c>
      <c r="J18" s="104">
        <v>0.5</v>
      </c>
      <c r="K18" s="102">
        <f t="shared" si="4"/>
        <v>2698.215068631686</v>
      </c>
      <c r="L18" s="102">
        <f t="shared" si="7"/>
        <v>-153.3411842282488</v>
      </c>
      <c r="M18" s="102">
        <v>-0.052</v>
      </c>
      <c r="N18" s="102">
        <f t="shared" si="5"/>
        <v>-167.5859936920752</v>
      </c>
      <c r="P18">
        <v>52</v>
      </c>
      <c r="Q18" s="102">
        <v>301.6547886457354</v>
      </c>
      <c r="S18" s="102">
        <v>0.052</v>
      </c>
      <c r="T18" s="102">
        <v>301.6547886457354</v>
      </c>
    </row>
    <row r="19" spans="2:20" s="102" customFormat="1" ht="12.75">
      <c r="B19" s="102">
        <f t="shared" si="8"/>
        <v>-0.2104922279792746</v>
      </c>
      <c r="C19" s="104">
        <v>0.45</v>
      </c>
      <c r="D19" s="102">
        <f t="shared" si="1"/>
        <v>1248.6585024647957</v>
      </c>
      <c r="E19" s="102">
        <f t="shared" si="6"/>
        <v>-262.8329101690794</v>
      </c>
      <c r="F19" s="102">
        <v>-0.13</v>
      </c>
      <c r="G19" s="102">
        <f t="shared" si="2"/>
        <v>-425.5714219058928</v>
      </c>
      <c r="I19" s="102">
        <f t="shared" si="3"/>
        <v>-0.14207650273224043</v>
      </c>
      <c r="J19" s="104">
        <v>0.45</v>
      </c>
      <c r="K19" s="102">
        <f t="shared" si="4"/>
        <v>2428.3935617685174</v>
      </c>
      <c r="L19" s="102">
        <f t="shared" si="7"/>
        <v>-345.01766451355985</v>
      </c>
      <c r="M19" s="102">
        <v>-0.13</v>
      </c>
      <c r="N19" s="102">
        <f t="shared" si="5"/>
        <v>-377.0684858071692</v>
      </c>
      <c r="P19">
        <v>130</v>
      </c>
      <c r="Q19" s="102">
        <v>670.3439747683009</v>
      </c>
      <c r="S19" s="102">
        <v>0.13</v>
      </c>
      <c r="T19" s="102">
        <v>670.3439747683009</v>
      </c>
    </row>
    <row r="20" spans="2:20" s="102" customFormat="1" ht="12.75">
      <c r="B20" s="102">
        <f t="shared" si="8"/>
        <v>-0.4209844559585492</v>
      </c>
      <c r="C20" s="104">
        <v>0.45</v>
      </c>
      <c r="D20" s="102">
        <f t="shared" si="1"/>
        <v>1248.6585024647957</v>
      </c>
      <c r="E20" s="102">
        <f t="shared" si="6"/>
        <v>-525.6658203381588</v>
      </c>
      <c r="F20" s="102">
        <v>-0.26</v>
      </c>
      <c r="G20" s="102">
        <f t="shared" si="2"/>
        <v>-851.1428438117856</v>
      </c>
      <c r="I20" s="102">
        <f t="shared" si="3"/>
        <v>-0.28415300546448086</v>
      </c>
      <c r="J20" s="104">
        <v>0.45</v>
      </c>
      <c r="K20" s="102">
        <f t="shared" si="4"/>
        <v>2428.3935617685174</v>
      </c>
      <c r="L20" s="102">
        <f t="shared" si="7"/>
        <v>-690.0353290271197</v>
      </c>
      <c r="M20" s="102">
        <v>-0.26</v>
      </c>
      <c r="N20" s="102">
        <f t="shared" si="5"/>
        <v>-754.1369716143384</v>
      </c>
      <c r="P20">
        <v>260</v>
      </c>
      <c r="Q20" s="102">
        <v>1340.6879495366018</v>
      </c>
      <c r="S20" s="102">
        <v>0.26</v>
      </c>
      <c r="T20" s="102">
        <v>1340.6879495366018</v>
      </c>
    </row>
    <row r="21" spans="2:20" s="102" customFormat="1" ht="12.75">
      <c r="B21" s="102">
        <f t="shared" si="8"/>
        <v>-0.6314766839378239</v>
      </c>
      <c r="C21" s="104">
        <v>0.43</v>
      </c>
      <c r="D21" s="102">
        <f t="shared" si="1"/>
        <v>1193.1625690219157</v>
      </c>
      <c r="E21" s="102">
        <f t="shared" si="6"/>
        <v>-753.4543424846942</v>
      </c>
      <c r="F21" s="102">
        <v>-0.39</v>
      </c>
      <c r="G21" s="102">
        <f t="shared" si="2"/>
        <v>-1219.9714094635592</v>
      </c>
      <c r="I21" s="102">
        <f t="shared" si="3"/>
        <v>-0.4262295081967213</v>
      </c>
      <c r="J21" s="104">
        <v>0.43</v>
      </c>
      <c r="K21" s="102">
        <f t="shared" si="4"/>
        <v>2320.46495902325</v>
      </c>
      <c r="L21" s="102">
        <f t="shared" si="7"/>
        <v>-989.0506382722048</v>
      </c>
      <c r="M21" s="102">
        <v>-0.39</v>
      </c>
      <c r="N21" s="102">
        <f t="shared" si="5"/>
        <v>-1080.929659313885</v>
      </c>
      <c r="P21">
        <v>390</v>
      </c>
      <c r="Q21" s="102">
        <v>1759.6529337667894</v>
      </c>
      <c r="S21" s="102">
        <v>0.39</v>
      </c>
      <c r="T21" s="102">
        <v>1759.6529337667894</v>
      </c>
    </row>
    <row r="22" spans="2:20" s="102" customFormat="1" ht="12.75">
      <c r="B22" s="102">
        <f t="shared" si="8"/>
        <v>-0.8419689119170984</v>
      </c>
      <c r="C22" s="104">
        <v>0.35</v>
      </c>
      <c r="D22" s="102">
        <f t="shared" si="1"/>
        <v>971.1788352503966</v>
      </c>
      <c r="E22" s="102">
        <f t="shared" si="6"/>
        <v>-817.7023871926914</v>
      </c>
      <c r="F22" s="102">
        <v>-0.52</v>
      </c>
      <c r="G22" s="102">
        <f t="shared" si="2"/>
        <v>-1323.9999792627775</v>
      </c>
      <c r="I22" s="102">
        <f t="shared" si="3"/>
        <v>-0.5683060109289617</v>
      </c>
      <c r="J22" s="104">
        <v>0.35</v>
      </c>
      <c r="K22" s="102">
        <f t="shared" si="4"/>
        <v>1888.75054804218</v>
      </c>
      <c r="L22" s="102">
        <f t="shared" si="7"/>
        <v>-1073.3882895977415</v>
      </c>
      <c r="M22" s="102">
        <v>-0.52</v>
      </c>
      <c r="N22" s="102">
        <f t="shared" si="5"/>
        <v>-1173.1019558445262</v>
      </c>
      <c r="P22">
        <v>520</v>
      </c>
      <c r="Q22" s="102">
        <v>2011.031924304902</v>
      </c>
      <c r="S22" s="102">
        <v>0.52</v>
      </c>
      <c r="T22" s="102">
        <v>2011.031924304902</v>
      </c>
    </row>
    <row r="23" spans="1:20" s="102" customFormat="1" ht="12.75">
      <c r="A23" s="102" t="s">
        <v>69</v>
      </c>
      <c r="B23" s="102">
        <f t="shared" si="8"/>
        <v>-1.2791450777202071</v>
      </c>
      <c r="C23" s="104">
        <v>0.24</v>
      </c>
      <c r="D23" s="102">
        <f t="shared" si="1"/>
        <v>665.9512013145576</v>
      </c>
      <c r="E23" s="102">
        <f t="shared" si="6"/>
        <v>-851.848201163375</v>
      </c>
      <c r="F23" s="102">
        <v>-0.79</v>
      </c>
      <c r="G23" s="102">
        <f t="shared" si="2"/>
        <v>-1379.2878904847394</v>
      </c>
      <c r="I23" s="102">
        <f t="shared" si="3"/>
        <v>-0.8633879781420765</v>
      </c>
      <c r="J23" s="104">
        <v>0.24</v>
      </c>
      <c r="K23" s="102">
        <f t="shared" si="4"/>
        <v>1295.1432329432091</v>
      </c>
      <c r="L23" s="102">
        <f t="shared" si="7"/>
        <v>-1118.2110972952296</v>
      </c>
      <c r="M23" s="102">
        <v>-0.79</v>
      </c>
      <c r="N23" s="102">
        <f t="shared" si="5"/>
        <v>-1222.088630923748</v>
      </c>
      <c r="P23">
        <v>790</v>
      </c>
      <c r="Q23" s="102">
        <v>2036.8143848729142</v>
      </c>
      <c r="S23" s="102">
        <v>0.79</v>
      </c>
      <c r="T23" s="102">
        <v>2036.8143848729142</v>
      </c>
    </row>
    <row r="28" ht="12.75">
      <c r="D28" s="108"/>
    </row>
    <row r="48" ht="12.75">
      <c r="F48" s="102"/>
    </row>
    <row r="49" ht="12.75">
      <c r="F49" s="102"/>
    </row>
    <row r="50" ht="12.75">
      <c r="F50" s="102"/>
    </row>
    <row r="51" ht="12.75">
      <c r="F51" s="102"/>
    </row>
    <row r="52" ht="12.75">
      <c r="F52" s="102"/>
    </row>
    <row r="53" ht="12.75">
      <c r="F53" s="102"/>
    </row>
    <row r="54" ht="12.75">
      <c r="F54" s="102"/>
    </row>
    <row r="55" ht="12.75">
      <c r="F55" s="102"/>
    </row>
    <row r="56" ht="12.75">
      <c r="F56" s="102"/>
    </row>
    <row r="57" ht="12.75">
      <c r="F57" s="102"/>
    </row>
    <row r="58" ht="12.75">
      <c r="F58" s="102"/>
    </row>
    <row r="59" ht="12.75">
      <c r="F59" s="102"/>
    </row>
    <row r="60" ht="12.75">
      <c r="F60" s="102"/>
    </row>
    <row r="61" ht="12.75">
      <c r="F61" s="102"/>
    </row>
    <row r="62" ht="12.75">
      <c r="F62" s="102"/>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www.mymojo.co.uk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mojo corner weights</dc:title>
  <dc:subject/>
  <dc:creator>Neil Everett</dc:creator>
  <cp:keywords/>
  <dc:description/>
  <cp:lastModifiedBy>neveret4</cp:lastModifiedBy>
  <dcterms:created xsi:type="dcterms:W3CDTF">2001-07-03T20:58:50Z</dcterms:created>
  <dcterms:modified xsi:type="dcterms:W3CDTF">2008-10-16T14:31:49Z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